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750" windowHeight="12270" tabRatio="594"/>
  </bookViews>
  <sheets>
    <sheet name="Протокол" sheetId="1" r:id="rId1"/>
    <sheet name="Рейтинг школ танца" sheetId="2" r:id="rId2"/>
    <sheet name="Рейтинг Dancepride Trophhy" sheetId="3" r:id="rId3"/>
    <sheet name="Протокол.DPT" sheetId="7" r:id="rId4"/>
    <sheet name="Обработка зачетов" sheetId="4" r:id="rId5"/>
    <sheet name="готовые результаты зачетов" sheetId="5" r:id="rId6"/>
  </sheets>
  <calcPr calcId="144525"/>
</workbook>
</file>

<file path=xl/calcChain.xml><?xml version="1.0" encoding="utf-8"?>
<calcChain xmlns="http://schemas.openxmlformats.org/spreadsheetml/2006/main">
  <c r="F4" i="3" l="1"/>
  <c r="F9" i="3"/>
  <c r="F3" i="3"/>
  <c r="F10" i="3"/>
  <c r="F12" i="3"/>
  <c r="D6" i="3"/>
  <c r="F6" i="3" s="1"/>
  <c r="D11" i="3"/>
  <c r="F11" i="3" s="1"/>
  <c r="D4" i="3"/>
  <c r="D9" i="3"/>
  <c r="D13" i="3"/>
  <c r="F13" i="3" s="1"/>
  <c r="D8" i="3"/>
  <c r="F8" i="3" s="1"/>
  <c r="D3" i="3"/>
  <c r="D10" i="3"/>
  <c r="D5" i="3"/>
  <c r="F5" i="3" s="1"/>
  <c r="D7" i="3"/>
  <c r="F7" i="3" s="1"/>
  <c r="D12" i="3"/>
  <c r="DO7" i="7"/>
  <c r="DN7" i="7"/>
  <c r="DM7" i="7"/>
  <c r="DL7" i="7"/>
  <c r="DK7" i="7"/>
  <c r="DJ7" i="7"/>
  <c r="DI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R411" i="1" l="1"/>
  <c r="DR265" i="1"/>
  <c r="DR412" i="1"/>
  <c r="DR413" i="1"/>
  <c r="DR414" i="1"/>
  <c r="DR287" i="1"/>
  <c r="DR425" i="1"/>
  <c r="DR426" i="1"/>
  <c r="DR301" i="1"/>
  <c r="DR302" i="1"/>
  <c r="DR309" i="1"/>
  <c r="DR320" i="1"/>
  <c r="DR329" i="1"/>
  <c r="DR330" i="1"/>
  <c r="DR331" i="1"/>
  <c r="DR342" i="1"/>
  <c r="DR345" i="1"/>
  <c r="DR364" i="1"/>
  <c r="DR365" i="1"/>
  <c r="DR366" i="1"/>
  <c r="DR367" i="1"/>
  <c r="DR368" i="1"/>
  <c r="DR371" i="1"/>
  <c r="DR372" i="1"/>
  <c r="DR373" i="1"/>
  <c r="DR374" i="1"/>
  <c r="DR375" i="1"/>
  <c r="DR376" i="1"/>
  <c r="DR384" i="1"/>
  <c r="DR395" i="1"/>
  <c r="DR417" i="1"/>
  <c r="DR418" i="1"/>
  <c r="DR434" i="1"/>
  <c r="DR435" i="1"/>
  <c r="DR446" i="1"/>
  <c r="DR451" i="1"/>
  <c r="DR455" i="1"/>
  <c r="DR456" i="1"/>
  <c r="DR464" i="1"/>
  <c r="DR466" i="1"/>
  <c r="DR480" i="1"/>
  <c r="DR487" i="1"/>
  <c r="DR512" i="1"/>
  <c r="DR513" i="1"/>
  <c r="DR514" i="1"/>
  <c r="DR522" i="1"/>
  <c r="DR45" i="1"/>
  <c r="DR303" i="1"/>
  <c r="DR304" i="1"/>
  <c r="DR40" i="1"/>
  <c r="DR259" i="1"/>
  <c r="DR305" i="1"/>
  <c r="DR306" i="1"/>
  <c r="DR307" i="1"/>
  <c r="DR138" i="1"/>
  <c r="DR170" i="1"/>
  <c r="DR202" i="1"/>
  <c r="DR209" i="1"/>
  <c r="DR21" i="1"/>
  <c r="DR31" i="1"/>
  <c r="DR239" i="1"/>
  <c r="DR246" i="1"/>
  <c r="DR288" i="1"/>
  <c r="DR321" i="1"/>
  <c r="DR322" i="1"/>
  <c r="DR323" i="1"/>
  <c r="DR216" i="1"/>
  <c r="DR12" i="1"/>
  <c r="DR44" i="1"/>
  <c r="DR244" i="1"/>
  <c r="DR334" i="1"/>
  <c r="DR335" i="1"/>
  <c r="DR11" i="1"/>
  <c r="DR346" i="1"/>
  <c r="DR43" i="1"/>
  <c r="DR279" i="1"/>
  <c r="DR347" i="1"/>
  <c r="DR348" i="1"/>
  <c r="DR349" i="1"/>
  <c r="DR350" i="1"/>
  <c r="DR282" i="1"/>
  <c r="DR351" i="1"/>
  <c r="DR352" i="1"/>
  <c r="DR353" i="1"/>
  <c r="DR68" i="1"/>
  <c r="DR77" i="1"/>
  <c r="DR84" i="1"/>
  <c r="DR270" i="1"/>
  <c r="DR355" i="1"/>
  <c r="DR98" i="1"/>
  <c r="DR96" i="1"/>
  <c r="DR123" i="1"/>
  <c r="DR22" i="1"/>
  <c r="DR29" i="1"/>
  <c r="DR237" i="1"/>
  <c r="DR245" i="1"/>
  <c r="DR119" i="1"/>
  <c r="DR51" i="1"/>
  <c r="DR88" i="1"/>
  <c r="DR91" i="1"/>
  <c r="DR103" i="1"/>
  <c r="DR112" i="1"/>
  <c r="DR94" i="1"/>
  <c r="DR124" i="1"/>
  <c r="DR32" i="1"/>
  <c r="DR248" i="1"/>
  <c r="DR380" i="1"/>
  <c r="DR17" i="1"/>
  <c r="DR24" i="1"/>
  <c r="DR381" i="1"/>
  <c r="DR35" i="1"/>
  <c r="DR253" i="1"/>
  <c r="DR382" i="1"/>
  <c r="DR83" i="1"/>
  <c r="DR274" i="1"/>
  <c r="DR385" i="1"/>
  <c r="DR386" i="1"/>
  <c r="DR387" i="1"/>
  <c r="DR388" i="1"/>
  <c r="DR266" i="1"/>
  <c r="DR390" i="1"/>
  <c r="DR391" i="1"/>
  <c r="DR247" i="1"/>
  <c r="DR393" i="1"/>
  <c r="DR394" i="1"/>
  <c r="DR100" i="1"/>
  <c r="DR130" i="1"/>
  <c r="DR70" i="1"/>
  <c r="DR78" i="1"/>
  <c r="DR85" i="1"/>
  <c r="DR277" i="1"/>
  <c r="DR405" i="1"/>
  <c r="DR406" i="1"/>
  <c r="DR150" i="1"/>
  <c r="DR187" i="1"/>
  <c r="DR226" i="1"/>
  <c r="DR86" i="1"/>
  <c r="DR271" i="1"/>
  <c r="DR423" i="1"/>
  <c r="DR424" i="1"/>
  <c r="DR66" i="1"/>
  <c r="DR75" i="1"/>
  <c r="DR284" i="1"/>
  <c r="DR427" i="1"/>
  <c r="DR428" i="1"/>
  <c r="DR429" i="1"/>
  <c r="DR430" i="1"/>
  <c r="DR258" i="1"/>
  <c r="DR431" i="1"/>
  <c r="DR432" i="1"/>
  <c r="DR9" i="1"/>
  <c r="DR433" i="1"/>
  <c r="DR42" i="1"/>
  <c r="DR249" i="1"/>
  <c r="DR52" i="1"/>
  <c r="DR90" i="1"/>
  <c r="DR92" i="1"/>
  <c r="DR105" i="1"/>
  <c r="DR113" i="1"/>
  <c r="DR241" i="1"/>
  <c r="DR251" i="1"/>
  <c r="DR444" i="1"/>
  <c r="DR445" i="1"/>
  <c r="DR183" i="1"/>
  <c r="DR275" i="1"/>
  <c r="DR447" i="1"/>
  <c r="DR448" i="1"/>
  <c r="DR449" i="1"/>
  <c r="DR450" i="1"/>
  <c r="DR20" i="1"/>
  <c r="DR33" i="1"/>
  <c r="DR238" i="1"/>
  <c r="DR256" i="1"/>
  <c r="DR16" i="1"/>
  <c r="DR47" i="1"/>
  <c r="DR453" i="1"/>
  <c r="DR39" i="1"/>
  <c r="DR257" i="1"/>
  <c r="DR454" i="1"/>
  <c r="DR97" i="1"/>
  <c r="DR13" i="1"/>
  <c r="DR46" i="1"/>
  <c r="DR60" i="1"/>
  <c r="DR465" i="1"/>
  <c r="DR99" i="1"/>
  <c r="DR128" i="1"/>
  <c r="DR23" i="1"/>
  <c r="DR470" i="1"/>
  <c r="DR34" i="1"/>
  <c r="DR252" i="1"/>
  <c r="DR471" i="1"/>
  <c r="DR472" i="1"/>
  <c r="DR121" i="1"/>
  <c r="DR481" i="1"/>
  <c r="DR268" i="1"/>
  <c r="DR482" i="1"/>
  <c r="DR483" i="1"/>
  <c r="DR484" i="1"/>
  <c r="DR93" i="1"/>
  <c r="DR115" i="1"/>
  <c r="DR136" i="1"/>
  <c r="DR166" i="1"/>
  <c r="DR171" i="1"/>
  <c r="DR203" i="1"/>
  <c r="DR210" i="1"/>
  <c r="DR485" i="1"/>
  <c r="DR18" i="1"/>
  <c r="DR26" i="1"/>
  <c r="DR38" i="1"/>
  <c r="DR255" i="1"/>
  <c r="DR486" i="1"/>
  <c r="DR180" i="1"/>
  <c r="DR219" i="1"/>
  <c r="DR62" i="1"/>
  <c r="DR110" i="1"/>
  <c r="DR127" i="1"/>
  <c r="DR30" i="1"/>
  <c r="DR490" i="1"/>
  <c r="DR250" i="1"/>
  <c r="DR491" i="1"/>
  <c r="DR492" i="1"/>
  <c r="DR493" i="1"/>
  <c r="DR53" i="1"/>
  <c r="DR89" i="1"/>
  <c r="DR104" i="1"/>
  <c r="DR114" i="1"/>
  <c r="DR64" i="1"/>
  <c r="DR67" i="1"/>
  <c r="DR81" i="1"/>
  <c r="DR273" i="1"/>
  <c r="DR507" i="1"/>
  <c r="DR508" i="1"/>
  <c r="DR509" i="1"/>
  <c r="DR510" i="1"/>
  <c r="DR511" i="1"/>
  <c r="DR153" i="1"/>
  <c r="DR193" i="1"/>
  <c r="DR172" i="1"/>
  <c r="DR211" i="1"/>
  <c r="DR223" i="1"/>
  <c r="DR184" i="1"/>
  <c r="DR15" i="1"/>
  <c r="DR515" i="1"/>
  <c r="DR516" i="1"/>
  <c r="DR101" i="1"/>
  <c r="DR129" i="1"/>
  <c r="DR76" i="1"/>
  <c r="DR82" i="1"/>
  <c r="DR272" i="1"/>
  <c r="DR294" i="1"/>
  <c r="DR295" i="1"/>
  <c r="DR300" i="1"/>
  <c r="DR308" i="1"/>
  <c r="DR356" i="1"/>
  <c r="DR357" i="1"/>
  <c r="DR441" i="1"/>
  <c r="DR452" i="1"/>
  <c r="DR459" i="1"/>
  <c r="DR488" i="1"/>
  <c r="DR145" i="1"/>
  <c r="DR181" i="1"/>
  <c r="DR19" i="1"/>
  <c r="DR37" i="1"/>
  <c r="DR263" i="1"/>
  <c r="DR314" i="1"/>
  <c r="DR41" i="1"/>
  <c r="DR269" i="1"/>
  <c r="DR315" i="1"/>
  <c r="DR316" i="1"/>
  <c r="DR317" i="1"/>
  <c r="DR318" i="1"/>
  <c r="DR147" i="1"/>
  <c r="DR167" i="1"/>
  <c r="DR175" i="1"/>
  <c r="DR134" i="1"/>
  <c r="DR162" i="1"/>
  <c r="DR201" i="1"/>
  <c r="DR208" i="1"/>
  <c r="DR403" i="1"/>
  <c r="DR404" i="1"/>
  <c r="DR290" i="1"/>
  <c r="DR419" i="1"/>
  <c r="DR420" i="1"/>
  <c r="DR421" i="1"/>
  <c r="DR73" i="1"/>
  <c r="DR283" i="1"/>
  <c r="DR437" i="1"/>
  <c r="DR438" i="1"/>
  <c r="DR160" i="1"/>
  <c r="DR188" i="1"/>
  <c r="DR231" i="1"/>
  <c r="DR174" i="1"/>
  <c r="DR133" i="1"/>
  <c r="DR163" i="1"/>
  <c r="DR169" i="1"/>
  <c r="DR222" i="1"/>
  <c r="DR460" i="1"/>
  <c r="DR461" i="1"/>
  <c r="DR199" i="1"/>
  <c r="DR261" i="1"/>
  <c r="DR267" i="1"/>
  <c r="DR498" i="1"/>
  <c r="DR499" i="1"/>
  <c r="DR500" i="1"/>
  <c r="DR501" i="1"/>
  <c r="DR502" i="1"/>
  <c r="DR503" i="1"/>
  <c r="DR36" i="1"/>
  <c r="DR264" i="1"/>
  <c r="DR519" i="1"/>
  <c r="DR383" i="1"/>
  <c r="DR402" i="1"/>
  <c r="DR286" i="1"/>
  <c r="DR377" i="1"/>
  <c r="DR378" i="1"/>
  <c r="DR50" i="1"/>
  <c r="DR63" i="1"/>
  <c r="DR102" i="1"/>
  <c r="DR132" i="1"/>
  <c r="DR337" i="1"/>
  <c r="DR159" i="1"/>
  <c r="DR191" i="1"/>
  <c r="DR230" i="1"/>
  <c r="DR338" i="1"/>
  <c r="DR494" i="1"/>
  <c r="DR497" i="1"/>
  <c r="DR285" i="1"/>
  <c r="DR137" i="1"/>
  <c r="DR165" i="1"/>
  <c r="DR173" i="1"/>
  <c r="DR213" i="1"/>
  <c r="DR292" i="1"/>
  <c r="DR289" i="1"/>
  <c r="DR495" i="1"/>
  <c r="DR496" i="1"/>
  <c r="DR141" i="1"/>
  <c r="DR164" i="1"/>
  <c r="DR207" i="1"/>
  <c r="DR293" i="1"/>
  <c r="DR296" i="1"/>
  <c r="DR328" i="1"/>
  <c r="DR336" i="1"/>
  <c r="DR354" i="1"/>
  <c r="DR358" i="1"/>
  <c r="DR360" i="1"/>
  <c r="DR389" i="1"/>
  <c r="DR392" i="1"/>
  <c r="DR422" i="1"/>
  <c r="DR467" i="1"/>
  <c r="DR469" i="1"/>
  <c r="DR473" i="1"/>
  <c r="DR474" i="1"/>
  <c r="DR476" i="1"/>
  <c r="DR489" i="1"/>
  <c r="DR107" i="1"/>
  <c r="DR118" i="1"/>
  <c r="DR146" i="1"/>
  <c r="DR205" i="1"/>
  <c r="DR220" i="1"/>
  <c r="DR135" i="1"/>
  <c r="DR206" i="1"/>
  <c r="DR291" i="1"/>
  <c r="DR332" i="1"/>
  <c r="DR333" i="1"/>
  <c r="DR72" i="1"/>
  <c r="DR79" i="1"/>
  <c r="DR87" i="1"/>
  <c r="DR278" i="1"/>
  <c r="DR168" i="1"/>
  <c r="DR204" i="1"/>
  <c r="DR212" i="1"/>
  <c r="DR176" i="1"/>
  <c r="DR61" i="1"/>
  <c r="DR361" i="1"/>
  <c r="DR111" i="1"/>
  <c r="DR131" i="1"/>
  <c r="DR362" i="1"/>
  <c r="DR363" i="1"/>
  <c r="DR27" i="1"/>
  <c r="DR254" i="1"/>
  <c r="DR379" i="1"/>
  <c r="DR149" i="1"/>
  <c r="DR189" i="1"/>
  <c r="DR229" i="1"/>
  <c r="DR57" i="1"/>
  <c r="DR108" i="1"/>
  <c r="DR243" i="1"/>
  <c r="DR398" i="1"/>
  <c r="DR399" i="1"/>
  <c r="DR400" i="1"/>
  <c r="DR401" i="1"/>
  <c r="DR242" i="1"/>
  <c r="DR407" i="1"/>
  <c r="DR408" i="1"/>
  <c r="DR409" i="1"/>
  <c r="DR410" i="1"/>
  <c r="DR55" i="1"/>
  <c r="DR106" i="1"/>
  <c r="DR120" i="1"/>
  <c r="DR151" i="1"/>
  <c r="DR228" i="1"/>
  <c r="DR457" i="1"/>
  <c r="DR260" i="1"/>
  <c r="DR462" i="1"/>
  <c r="DR463" i="1"/>
  <c r="DR161" i="1"/>
  <c r="DR194" i="1"/>
  <c r="DR233" i="1"/>
  <c r="DR154" i="1"/>
  <c r="DR192" i="1"/>
  <c r="DR234" i="1"/>
  <c r="DR225" i="1"/>
  <c r="DR475" i="1"/>
  <c r="DR186" i="1"/>
  <c r="DR65" i="1"/>
  <c r="DR69" i="1"/>
  <c r="DR276" i="1"/>
  <c r="DR477" i="1"/>
  <c r="DR478" i="1"/>
  <c r="DR281" i="1"/>
  <c r="DR71" i="1"/>
  <c r="DR74" i="1"/>
  <c r="DR80" i="1"/>
  <c r="DR280" i="1"/>
  <c r="DR341" i="1"/>
  <c r="DR344" i="1"/>
  <c r="DR468" i="1"/>
  <c r="DR479" i="1"/>
  <c r="DR520" i="1"/>
  <c r="DR521" i="1"/>
  <c r="DR195" i="1"/>
  <c r="DR198" i="1"/>
  <c r="DR157" i="1"/>
  <c r="DR196" i="1"/>
  <c r="DR156" i="1"/>
  <c r="DR197" i="1"/>
  <c r="DR235" i="1"/>
  <c r="DR158" i="1"/>
  <c r="DR324" i="1"/>
  <c r="DR339" i="1"/>
  <c r="DR359" i="1"/>
  <c r="DR458" i="1"/>
  <c r="DR505" i="1"/>
  <c r="DR517" i="1"/>
  <c r="DR54" i="1"/>
  <c r="DR95" i="1"/>
  <c r="DR122" i="1"/>
  <c r="DR325" i="1"/>
  <c r="DR59" i="1"/>
  <c r="DR117" i="1"/>
  <c r="DR340" i="1"/>
  <c r="DR10" i="1"/>
  <c r="DR49" i="1"/>
  <c r="DR240" i="1"/>
  <c r="DR369" i="1"/>
  <c r="DR370" i="1"/>
  <c r="DR25" i="1"/>
  <c r="DR236" i="1"/>
  <c r="DR436" i="1"/>
  <c r="DR14" i="1"/>
  <c r="DR48" i="1"/>
  <c r="DR109" i="1"/>
  <c r="DR126" i="1"/>
  <c r="DR506" i="1"/>
  <c r="DR56" i="1"/>
  <c r="DR116" i="1"/>
  <c r="DR518" i="1"/>
  <c r="DR297" i="1"/>
  <c r="DR298" i="1"/>
  <c r="DR310" i="1"/>
  <c r="DR319" i="1"/>
  <c r="DR326" i="1"/>
  <c r="DR343" i="1"/>
  <c r="DR396" i="1"/>
  <c r="DR439" i="1"/>
  <c r="DR442" i="1"/>
  <c r="DR504" i="1"/>
  <c r="DR139" i="1"/>
  <c r="DR177" i="1"/>
  <c r="DR215" i="1"/>
  <c r="DR224" i="1"/>
  <c r="DR299" i="1"/>
  <c r="DR185" i="1"/>
  <c r="DR311" i="1"/>
  <c r="DR312" i="1"/>
  <c r="DR313" i="1"/>
  <c r="DR143" i="1"/>
  <c r="DR140" i="1"/>
  <c r="DR178" i="1"/>
  <c r="DR214" i="1"/>
  <c r="DR327" i="1"/>
  <c r="DR144" i="1"/>
  <c r="DR218" i="1"/>
  <c r="DR58" i="1"/>
  <c r="DR125" i="1"/>
  <c r="DR397" i="1"/>
  <c r="DR142" i="1"/>
  <c r="DR179" i="1"/>
  <c r="DR217" i="1"/>
  <c r="DR440" i="1"/>
  <c r="DR148" i="1"/>
  <c r="DR152" i="1"/>
  <c r="DR182" i="1"/>
  <c r="DR190" i="1"/>
  <c r="DR221" i="1"/>
  <c r="DR227" i="1"/>
  <c r="DR443" i="1"/>
  <c r="DR155" i="1"/>
  <c r="DR200" i="1"/>
  <c r="DR232" i="1"/>
  <c r="DR28" i="1"/>
  <c r="DR262" i="1"/>
  <c r="DR415" i="1"/>
  <c r="DR416" i="1"/>
  <c r="F7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E7" i="1"/>
  <c r="D12" i="5"/>
  <c r="D11" i="5"/>
  <c r="D10" i="5"/>
  <c r="D9" i="5"/>
  <c r="D8" i="5"/>
  <c r="C12" i="5"/>
  <c r="C11" i="5"/>
  <c r="C10" i="5"/>
  <c r="C9" i="5"/>
  <c r="C8" i="5"/>
  <c r="B9" i="5"/>
  <c r="B10" i="5"/>
  <c r="B11" i="5"/>
  <c r="B12" i="5"/>
  <c r="B8" i="5"/>
  <c r="A12" i="5"/>
  <c r="A11" i="5"/>
  <c r="A10" i="5"/>
  <c r="A9" i="5"/>
  <c r="A8" i="5"/>
  <c r="H12" i="5"/>
  <c r="H11" i="5"/>
  <c r="H10" i="5"/>
  <c r="H9" i="5"/>
  <c r="H8" i="5"/>
  <c r="G12" i="5"/>
  <c r="G11" i="5"/>
  <c r="G10" i="5"/>
  <c r="G9" i="5"/>
  <c r="G8" i="5"/>
  <c r="F12" i="5"/>
  <c r="F11" i="5"/>
  <c r="F10" i="5"/>
  <c r="F9" i="5"/>
  <c r="F8" i="5"/>
  <c r="H7" i="5"/>
  <c r="H6" i="5"/>
  <c r="H5" i="5"/>
  <c r="G7" i="5"/>
  <c r="G6" i="5"/>
  <c r="G5" i="5"/>
  <c r="F7" i="5"/>
  <c r="F6" i="5"/>
  <c r="F5" i="5"/>
  <c r="H4" i="5"/>
  <c r="G4" i="5"/>
  <c r="F4" i="5"/>
  <c r="D7" i="5"/>
  <c r="D6" i="5"/>
  <c r="D5" i="5"/>
  <c r="D4" i="5"/>
  <c r="C7" i="5"/>
  <c r="C6" i="5"/>
  <c r="C5" i="5"/>
  <c r="C4" i="5"/>
  <c r="B7" i="5"/>
  <c r="B6" i="5"/>
  <c r="B5" i="5"/>
  <c r="B4" i="5"/>
  <c r="A7" i="5"/>
  <c r="A6" i="5"/>
  <c r="A5" i="5"/>
  <c r="A4" i="5"/>
  <c r="D3" i="5"/>
  <c r="C3" i="5"/>
  <c r="B3" i="5"/>
  <c r="A3" i="5"/>
  <c r="H3" i="5"/>
  <c r="G3" i="5"/>
  <c r="F3" i="5"/>
  <c r="E3" i="5"/>
  <c r="E12" i="5"/>
  <c r="E11" i="5"/>
  <c r="E10" i="5"/>
  <c r="E9" i="5"/>
  <c r="E8" i="5"/>
  <c r="E7" i="5"/>
  <c r="E6" i="5"/>
  <c r="E5" i="5"/>
  <c r="E4" i="5"/>
  <c r="H2" i="5"/>
  <c r="G2" i="5"/>
  <c r="F2" i="5"/>
  <c r="E2" i="5"/>
  <c r="D2" i="5"/>
  <c r="C2" i="5"/>
  <c r="B2" i="5"/>
  <c r="A2" i="5"/>
  <c r="H1" i="5"/>
  <c r="G1" i="5"/>
  <c r="F1" i="5"/>
  <c r="E1" i="5"/>
  <c r="D1" i="5"/>
  <c r="C1" i="5"/>
  <c r="B1" i="5"/>
  <c r="A1" i="5"/>
</calcChain>
</file>

<file path=xl/sharedStrings.xml><?xml version="1.0" encoding="utf-8"?>
<sst xmlns="http://schemas.openxmlformats.org/spreadsheetml/2006/main" count="3483" uniqueCount="362">
  <si>
    <t>№</t>
  </si>
  <si>
    <t>Фамилия Имя Солиста или Пары</t>
  </si>
  <si>
    <t>Клуб</t>
  </si>
  <si>
    <t>Руководители</t>
  </si>
  <si>
    <t>Дата турнира</t>
  </si>
  <si>
    <t>Место проведения</t>
  </si>
  <si>
    <t>Название турнира</t>
  </si>
  <si>
    <t>Организатор</t>
  </si>
  <si>
    <t>Телефон</t>
  </si>
  <si>
    <t>e-meil</t>
  </si>
  <si>
    <t>ИТОГОВЫЙ ПРОТОКОЛ</t>
  </si>
  <si>
    <t xml:space="preserve">Сыдыков Роман, Сыдыкова Юлия                             </t>
  </si>
  <si>
    <t xml:space="preserve">Умнов Николай, Умнова Татьяна                             </t>
  </si>
  <si>
    <t xml:space="preserve">Сторогина Ольга, Соколков Алексей                             </t>
  </si>
  <si>
    <t xml:space="preserve">Кудинов Алексей, Докорина Мария                             </t>
  </si>
  <si>
    <t>7-8</t>
  </si>
  <si>
    <t xml:space="preserve">Dancepride Trophy J 7 лет и мл. СОЛО  </t>
  </si>
  <si>
    <t xml:space="preserve">Dancepride Trophy J 10 лет и ст. ПАРЫ  </t>
  </si>
  <si>
    <t xml:space="preserve">Никитская Анастасия, Филичкин Иван                             </t>
  </si>
  <si>
    <t xml:space="preserve">Никитская Анастасия                             </t>
  </si>
  <si>
    <t xml:space="preserve">Филичкин Иван                             </t>
  </si>
  <si>
    <t xml:space="preserve">Dancepride Trophy Q 10 лет и ст. ПАРЫ  </t>
  </si>
  <si>
    <t xml:space="preserve">Dancepride Trophy W 10 лет и ст. ПАРЫ  </t>
  </si>
  <si>
    <t>Махаон</t>
  </si>
  <si>
    <t>Ходос Дина, Набиуллина Аделя</t>
  </si>
  <si>
    <t>Звезда</t>
  </si>
  <si>
    <t>Баландина Анна</t>
  </si>
  <si>
    <t>Кузнецова Яна, Набиуллина Аделя</t>
  </si>
  <si>
    <t>Dancepride</t>
  </si>
  <si>
    <t>Сыдыков Роман, Сыдыкова Юлия</t>
  </si>
  <si>
    <t>La danza magnifica</t>
  </si>
  <si>
    <t>Умнов Николай, Умнова Татьяна</t>
  </si>
  <si>
    <t>Пандора</t>
  </si>
  <si>
    <t>Ходос Дина</t>
  </si>
  <si>
    <t>Ходос Дина, Кузнецова Яна</t>
  </si>
  <si>
    <t>Flame Dance</t>
  </si>
  <si>
    <t>Филичкин Иван</t>
  </si>
  <si>
    <t>Adele Dance</t>
  </si>
  <si>
    <t>Никитская Анастасия</t>
  </si>
  <si>
    <t>Пожидаева Наталья, Телицына Ирина</t>
  </si>
  <si>
    <t>Танцстиль</t>
  </si>
  <si>
    <t>Кудинов Алексей, Докорина Мария</t>
  </si>
  <si>
    <t>Сыдыков Роман, Сызранцева Юлия</t>
  </si>
  <si>
    <t xml:space="preserve">Классификация E 9 лет и мл. ПАРЫ  </t>
  </si>
  <si>
    <t xml:space="preserve">Классификация E 9 лет и мл. СОЛО  </t>
  </si>
  <si>
    <t xml:space="preserve">Классификация E 11 лет и мл. ПАРЫ  </t>
  </si>
  <si>
    <t xml:space="preserve">Клюева Ольга, Клюев Алексей                             </t>
  </si>
  <si>
    <t xml:space="preserve">Классификация E 11 лет и мл. СОЛО  </t>
  </si>
  <si>
    <t xml:space="preserve">Классификация E 12 лет и ст. ПАРЫ  </t>
  </si>
  <si>
    <t xml:space="preserve">Классификация E 12 лет и ст. СОЛО  </t>
  </si>
  <si>
    <t xml:space="preserve">Классификация N 7 лет и мл. СОЛО  </t>
  </si>
  <si>
    <t xml:space="preserve">Классификация N 9 лет и мл. ПАРЫ  </t>
  </si>
  <si>
    <t xml:space="preserve">Классификация N 9 лет и мл. СОЛО  </t>
  </si>
  <si>
    <t xml:space="preserve">Ходос Дина, Телицына Ирина                             </t>
  </si>
  <si>
    <t xml:space="preserve">Классификация N 11 лет и мл. ПАРЫ  </t>
  </si>
  <si>
    <t xml:space="preserve">Классификация N 11 лет и мл. СОЛО  </t>
  </si>
  <si>
    <t xml:space="preserve">Классификация N 12 лет и ст. ПАРЫ  </t>
  </si>
  <si>
    <t xml:space="preserve">Телицына Ирина, Ходос Дина                             </t>
  </si>
  <si>
    <t xml:space="preserve">Классификация N 12 лет и ст. СОЛО  </t>
  </si>
  <si>
    <t>9 лет и мл.  Кубок Ча-Ча-Ча ПАРЫ</t>
  </si>
  <si>
    <t>5 лет и мл.  Кубок Ча-Ча-Ча СОЛО</t>
  </si>
  <si>
    <t>7 лет и мл.  Кубок Ча-Ча-Ча СОЛО</t>
  </si>
  <si>
    <t>12-15</t>
  </si>
  <si>
    <t>9 лет и мл.  Кубок Ча-Ча-Ча СОЛО</t>
  </si>
  <si>
    <t>7 лет и мл.  Кубок Ча-Ча-Ча ПАРЫ</t>
  </si>
  <si>
    <t>10 лет и ст.  Кубок Ча-Ча-Ча ПАРЫ</t>
  </si>
  <si>
    <t>10 лет и ст.  Кубок Ча-Ча-Ча СОЛО</t>
  </si>
  <si>
    <t>7 лет и мл.  Кубок Джайва СОЛО</t>
  </si>
  <si>
    <t>9 лет и мл.  Кубок Джайва СОЛО</t>
  </si>
  <si>
    <t>9-10</t>
  </si>
  <si>
    <t>10 лет и ст.  Кубок Джайва СОЛО</t>
  </si>
  <si>
    <t>9 лет и мл.  Кубок Польки ПАРЫ</t>
  </si>
  <si>
    <t>5 лет и мл.  Кубок Польки СОЛО</t>
  </si>
  <si>
    <t>10-11</t>
  </si>
  <si>
    <t>7 лет и мл.  Кубок Польки СОЛО</t>
  </si>
  <si>
    <t>9 лет и мл.  Кубок Польки СОЛО</t>
  </si>
  <si>
    <t>7 лет и мл.  Кубок Польки ПАРЫ</t>
  </si>
  <si>
    <t>9 лет и мл.  Кубок Румбы СОЛО</t>
  </si>
  <si>
    <t>10 лет и ст.  Кубок Румбы ПАРЫ</t>
  </si>
  <si>
    <t>10 лет и ст.  Кубок Румбы СОЛО</t>
  </si>
  <si>
    <t>9 лет и мл.  Кубок Самбы СОЛО</t>
  </si>
  <si>
    <t>10 лет и ст.  Кубок Самбы СОЛО</t>
  </si>
  <si>
    <t>9 лет и мл.  Кубок Танго СОЛО</t>
  </si>
  <si>
    <t>10 лет и ст.  Кубок Танго СОЛО</t>
  </si>
  <si>
    <t>9 лет и мл.  Кубок Вальса ПАРЫ</t>
  </si>
  <si>
    <t>5 лет и мл.  Кубок Вальса СОЛО</t>
  </si>
  <si>
    <t>9-11</t>
  </si>
  <si>
    <t>7 лет и мл.  Кубок Вальса СОЛО</t>
  </si>
  <si>
    <t>8-10</t>
  </si>
  <si>
    <t>9 лет и мл.  Кубок Вальса СОЛО</t>
  </si>
  <si>
    <t>12-13</t>
  </si>
  <si>
    <t>10 лет и ст.  Кубок Вальса СОЛО</t>
  </si>
  <si>
    <t>Step by Step</t>
  </si>
  <si>
    <t>Москва, ул. Судостроительная, 46/1,  ТЗ "Эверест"</t>
  </si>
  <si>
    <t>Сыдыков Роман</t>
  </si>
  <si>
    <t>sydykov@dancepride.ru</t>
  </si>
  <si>
    <t>В рейтинг NDL future department</t>
  </si>
  <si>
    <t>N</t>
  </si>
  <si>
    <t>Q</t>
  </si>
  <si>
    <t>Клубы</t>
  </si>
  <si>
    <t>R</t>
  </si>
  <si>
    <t>S</t>
  </si>
  <si>
    <t>Сыдыковы Роман и Юлия</t>
  </si>
  <si>
    <t>Умновы Николай и Татьяна</t>
  </si>
  <si>
    <t>Клюев Алексей</t>
  </si>
  <si>
    <t>РЕЙТИНГ серии турниров Dancepride Trophy 2018-2019</t>
  </si>
  <si>
    <t>13 января 2019</t>
  </si>
  <si>
    <t>Открытое Первенство школ танца НТЛ. XI Dancepride Trophy</t>
  </si>
  <si>
    <t>Столбец4</t>
  </si>
  <si>
    <t>Dancepride                             Химки</t>
  </si>
  <si>
    <t xml:space="preserve">Баландина Анна                             </t>
  </si>
  <si>
    <t xml:space="preserve">Ходос Дина, Набиуллина Аделя                             </t>
  </si>
  <si>
    <t xml:space="preserve">Dancepride Trophy Q 7 лет и мл. СОЛО  </t>
  </si>
  <si>
    <t xml:space="preserve">Dancepride Trophy W+CH+PL 7 лет и мл. СОЛО  </t>
  </si>
  <si>
    <t xml:space="preserve">Кузнецова Яна, Ходос Дина                             </t>
  </si>
  <si>
    <t xml:space="preserve">Болотова Елизавета                             </t>
  </si>
  <si>
    <t>Набиуллина Аделя, Кузнецова Яна</t>
  </si>
  <si>
    <t>Зачет на N 7 и мл. Соло W</t>
  </si>
  <si>
    <t>Зачет на N 7 и мл. Соло Q</t>
  </si>
  <si>
    <t>Зачет на N 7 и мл. Соло CH</t>
  </si>
  <si>
    <t>Зачет на N 7 и мл. Соло J</t>
  </si>
  <si>
    <t>Зачет ШБТ 7 и мл. ПАРЫ W</t>
  </si>
  <si>
    <t>Зачет ШБТ 7 и мл. ПАРЫ CH</t>
  </si>
  <si>
    <t>Зачет ШБТ 7 и мл. ПАРЫ PL</t>
  </si>
  <si>
    <t>Зачет ШБТ 7 и мл. Соло W</t>
  </si>
  <si>
    <t>Зачет ШБТ 7 и мл. Соло CH</t>
  </si>
  <si>
    <t>Зачет ШБТ 7 и мл. Соло PL</t>
  </si>
  <si>
    <t>Наше Время</t>
  </si>
  <si>
    <t>Бушняков Дмитрий</t>
  </si>
  <si>
    <t>Бушняков Дмитрий, Бушняков Дмитрий</t>
  </si>
  <si>
    <t>Кузнецова Яна</t>
  </si>
  <si>
    <t>Диали</t>
  </si>
  <si>
    <t>Болотова Елизавета</t>
  </si>
  <si>
    <t xml:space="preserve">Кузнецова Яна                             </t>
  </si>
  <si>
    <t xml:space="preserve">Кузнецова Яна, Набиуллина Аделя                             </t>
  </si>
  <si>
    <t xml:space="preserve">Бушняков Дмитрий, Бушняков Дмитрий                             </t>
  </si>
  <si>
    <t xml:space="preserve">Набиуллина Аделя, Кузнецова Яна                             </t>
  </si>
  <si>
    <t>15-16</t>
  </si>
  <si>
    <t xml:space="preserve">Бушняков Дмитрий                             </t>
  </si>
  <si>
    <t>14-15</t>
  </si>
  <si>
    <t>7 лет и мл.  Кубок Квикстепа СОЛО</t>
  </si>
  <si>
    <t>9 лет и мл.  Кубок Квикстепа СОЛО</t>
  </si>
  <si>
    <t>7-9</t>
  </si>
  <si>
    <t>7 лет и мл.  Кубок Вальса ПАРЫ</t>
  </si>
  <si>
    <t xml:space="preserve">Dancepride Trophy CH 9 лет и мл. СОЛО  </t>
  </si>
  <si>
    <t xml:space="preserve">Dancepride Trophy CH+J 9 лет и мл. ПАРЫ  </t>
  </si>
  <si>
    <t xml:space="preserve">Власов Алексей                             </t>
  </si>
  <si>
    <t xml:space="preserve">Dancepride Trophy CH+J 9 лет и мл. СОЛО  </t>
  </si>
  <si>
    <t xml:space="preserve">Dancepride Trophy HH 9 лет и мл. СОЛО  </t>
  </si>
  <si>
    <t xml:space="preserve">Dancepride Trophy W 9 лет и мл. СОЛО  </t>
  </si>
  <si>
    <t xml:space="preserve">Ходос Дина, Ходос Дина                             </t>
  </si>
  <si>
    <t xml:space="preserve">Dancepride Trophy W+CH+PL 9 лет и мл. СОЛО  </t>
  </si>
  <si>
    <t xml:space="preserve">Dancepride Trophy W+Q 9 лет и мл. ПАРЫ  </t>
  </si>
  <si>
    <t xml:space="preserve">Dancepride Trophy W+Q 9 лет и мл. СОЛО  </t>
  </si>
  <si>
    <t>Ходос Дина, Ходос Дина</t>
  </si>
  <si>
    <t>Ходос Дина, Телицына Ирина</t>
  </si>
  <si>
    <t>Зачет на E 9 и мл. Соло T</t>
  </si>
  <si>
    <t>Зачет на E 9 и мл. Соло R</t>
  </si>
  <si>
    <t>Зачет на N 9 и мл. ПАРЫ W</t>
  </si>
  <si>
    <t>Зачет на N 9 и мл. ПАРЫ Q</t>
  </si>
  <si>
    <t>Зачет на N 9 и мл. ПАРЫ CH</t>
  </si>
  <si>
    <t>Зачет на N 9 и мл. ПАРЫ J</t>
  </si>
  <si>
    <t>Власов Алексей</t>
  </si>
  <si>
    <t>Зачет на N 9 и мл. Соло W</t>
  </si>
  <si>
    <t>Зачет на N 9 и мл. Соло Q</t>
  </si>
  <si>
    <t>Зачет на N 9 и мл. Соло CH</t>
  </si>
  <si>
    <t>Зачет на N 9 и мл. Соло J</t>
  </si>
  <si>
    <t>Зачет ШБТ 9 и мл. ПАРЫ W</t>
  </si>
  <si>
    <t>Зачет ШБТ 9 и мл. ПАРЫ CH</t>
  </si>
  <si>
    <t>Зачет ШБТ 9 и мл. ПАРЫ PL</t>
  </si>
  <si>
    <t>Клюева Ольга, Клюев Алексей</t>
  </si>
  <si>
    <t>Зачет ШБТ 9 и мл. Соло W</t>
  </si>
  <si>
    <t>Зачет ШБТ 9 и мл. Соло CH</t>
  </si>
  <si>
    <t>Зачет ШБТ 9 и мл. Соло J</t>
  </si>
  <si>
    <t xml:space="preserve">Бородинов Владислав                             </t>
  </si>
  <si>
    <t xml:space="preserve">Пожидаева Наталья, Телицына Ирина                             </t>
  </si>
  <si>
    <t xml:space="preserve">Сыдыков Роман, Сызранцева Юлия                             </t>
  </si>
  <si>
    <t>12-14</t>
  </si>
  <si>
    <t>9 лет и мл.  Кубок Джайва ПАРЫ</t>
  </si>
  <si>
    <t xml:space="preserve">Ходос Дина, Кузнецова Яна                             </t>
  </si>
  <si>
    <t>9 лет и мл.  Кубок Квикстепа ПАРЫ</t>
  </si>
  <si>
    <t>9 лет и мл.  Кубок Венского Вальса СОЛО</t>
  </si>
  <si>
    <t xml:space="preserve">Dancepride Trophy CH+J 11 лет и мл. ПАРЫ  </t>
  </si>
  <si>
    <t xml:space="preserve">Dancepride Trophy CH+J 11 лет и мл. СОЛО  </t>
  </si>
  <si>
    <t xml:space="preserve">Дьячков Алексей, Фролова Елизавета                             </t>
  </si>
  <si>
    <t xml:space="preserve">Dancepride Trophy Cha 10 лет и ст. ПАРЫ  </t>
  </si>
  <si>
    <t xml:space="preserve">Dancepride Trophy HH 10 и ст. СОЛО  </t>
  </si>
  <si>
    <t xml:space="preserve">Dancepride Trophy R 10 лет и ст. ПАРЫ  </t>
  </si>
  <si>
    <t xml:space="preserve">Dancepride Trophy T 10 лет и ст. ПАРЫ  </t>
  </si>
  <si>
    <t xml:space="preserve">Dancepride Trophy W+Q 11 лет и мл. ПАРЫ  </t>
  </si>
  <si>
    <t xml:space="preserve">Dancepride Trophy W+Q 11 лет и мл. СОЛО  </t>
  </si>
  <si>
    <t xml:space="preserve">Solo LA CH+R+J 10 лет и ст.  </t>
  </si>
  <si>
    <t>Зачет на N 10 и ст. ПАРЫ W</t>
  </si>
  <si>
    <t>Зачет на N 10 и ст. ПАРЫ Q</t>
  </si>
  <si>
    <t>Зачет на N 10 и ст. ПАРЫ CH</t>
  </si>
  <si>
    <t>Зачет на N 10 и ст. ПАРЫ J</t>
  </si>
  <si>
    <t>Зачет на N 10 и ст. Соло W</t>
  </si>
  <si>
    <t>Зачет на N 10 и ст. Соло Q</t>
  </si>
  <si>
    <t>Зачет на N 10 и ст. Соло CH</t>
  </si>
  <si>
    <t>Зачет на N 10 и ст. Соло J</t>
  </si>
  <si>
    <t>Зачет ШБТ 10 и ст. Соло W</t>
  </si>
  <si>
    <t>Зачет ШБТ 10 и ст. Соло CH</t>
  </si>
  <si>
    <t>Зачет ШБТ 10 и ст. Соло PL</t>
  </si>
  <si>
    <t>Step By Step</t>
  </si>
  <si>
    <t>Алексей Клюев</t>
  </si>
  <si>
    <t xml:space="preserve">Алексей Клюев                             </t>
  </si>
  <si>
    <t>10 лет и ст.  Кубок Фокстрота ПАРЫ</t>
  </si>
  <si>
    <t>10 лет и ст.  Кубок Фокстрота СОЛО</t>
  </si>
  <si>
    <t>10 лет и ст.  Кубок Пасодобля ПАРЫ</t>
  </si>
  <si>
    <t>10 лет и ст.  Кубок Пасодобля СОЛО</t>
  </si>
  <si>
    <t>10 лет и ст.  Кубок Квикстепа СОЛО</t>
  </si>
  <si>
    <t>10 лет и ст.  Кубок Самбы ПАРЫ</t>
  </si>
  <si>
    <t>10 лет и ст.  Кубок Венского Вальса ПАРЫ</t>
  </si>
  <si>
    <t>10 лет и ст.  Кубок Венского Вальса СОЛО</t>
  </si>
  <si>
    <t>10 лет и ст.  Кубок Вальса ПАРЫ</t>
  </si>
  <si>
    <t>Алиев Магомед - Полякова Ника</t>
  </si>
  <si>
    <t>Телицын Илья - Витчевская Василиса</t>
  </si>
  <si>
    <t>Сорокин Олег - Попова София</t>
  </si>
  <si>
    <t>Шестак Владимир - Ужакина Яна</t>
  </si>
  <si>
    <t>Шаблинский Денис - Волкова Капитолина</t>
  </si>
  <si>
    <t>Николаев Савелий - Сазонова Анастасия</t>
  </si>
  <si>
    <t>Зезюлев Максим - Гербер Софья</t>
  </si>
  <si>
    <t>Кобзарь Егор - Павлова Дарья</t>
  </si>
  <si>
    <t>Зенин Михаил - Трактина Таисия</t>
  </si>
  <si>
    <t>Ладыка Никита - Кривкина Екатерина</t>
  </si>
  <si>
    <t>Яничкин Владимир - Бражник Полина</t>
  </si>
  <si>
    <t>Лебедев Ярослав - Гридина Мелания</t>
  </si>
  <si>
    <t>Костюков Владислав - Чиркова Софья</t>
  </si>
  <si>
    <t>Телицын Семён - Наумова Виктория</t>
  </si>
  <si>
    <t>Арчугов Данила - Швецова Алиса</t>
  </si>
  <si>
    <t>Бикмухаметов Тимур - Шурупова Арина</t>
  </si>
  <si>
    <t>Каданцев Дмитрий - Шаблинская Дарья</t>
  </si>
  <si>
    <t>Куприянов Максим - Курлова Ксения</t>
  </si>
  <si>
    <t>Ларин Артемий - Князева Арина</t>
  </si>
  <si>
    <t>Лукарелли Маттео - Осипова Риана</t>
  </si>
  <si>
    <t>Мартынов Максим - Гриднева Алина</t>
  </si>
  <si>
    <t>Обухов Николай - Максимова Даниэла</t>
  </si>
  <si>
    <t>Попов Иван - Нестерова Анастасия</t>
  </si>
  <si>
    <t>Самбуров Илья - Колмакова Мария</t>
  </si>
  <si>
    <t>Скороходов Александр - Колтович Елизавета</t>
  </si>
  <si>
    <t>Сорокин Максим - Ефимова Виктория</t>
  </si>
  <si>
    <t>Трактин Елисей - Ергина Екатерина</t>
  </si>
  <si>
    <t>Халтурин Никита - Егиазарян Лили</t>
  </si>
  <si>
    <t>Чекмарев Никита - Чекмарева Софья</t>
  </si>
  <si>
    <t>Чугаев Максим - Подмошина Мария</t>
  </si>
  <si>
    <t>Шестак Михаил - Потапова Мария</t>
  </si>
  <si>
    <t>РЕГ НТЛ</t>
  </si>
  <si>
    <t>РЕЙТ Q</t>
  </si>
  <si>
    <t>Наше время</t>
  </si>
  <si>
    <t>Шедевр</t>
  </si>
  <si>
    <t>Дьячков Алексей</t>
  </si>
  <si>
    <t>Абгарян Мари</t>
  </si>
  <si>
    <t>Александрова Надежда</t>
  </si>
  <si>
    <t>Алиев Магомед</t>
  </si>
  <si>
    <t>Андреев Никита</t>
  </si>
  <si>
    <t>Антонова Юлия</t>
  </si>
  <si>
    <t>Асейкина Ксения</t>
  </si>
  <si>
    <t>Базылева Таисия</t>
  </si>
  <si>
    <t>Басова Валерия</t>
  </si>
  <si>
    <t>Белецкая Ирина</t>
  </si>
  <si>
    <t>Бикмухаметов Тимур</t>
  </si>
  <si>
    <t>Бобровских Татьяна</t>
  </si>
  <si>
    <t>Богачева Евгения</t>
  </si>
  <si>
    <t>Бражник Полина</t>
  </si>
  <si>
    <t>Бузид Лина</t>
  </si>
  <si>
    <t>Васильева Ольга</t>
  </si>
  <si>
    <t>Витчевская Василиса</t>
  </si>
  <si>
    <t>Вовченко Юлия</t>
  </si>
  <si>
    <t>Волкова Маргарита</t>
  </si>
  <si>
    <t>Гербер Софья</t>
  </si>
  <si>
    <t>Глебова Анастасия</t>
  </si>
  <si>
    <t>Глушенкова Ольга</t>
  </si>
  <si>
    <t>Гончарова Анастасия</t>
  </si>
  <si>
    <t>Гончарова Кристина</t>
  </si>
  <si>
    <t>Горелова Анастасия</t>
  </si>
  <si>
    <t>Готовская Алиса</t>
  </si>
  <si>
    <t>Гюмюш Виктория</t>
  </si>
  <si>
    <t>Демина Елена</t>
  </si>
  <si>
    <t>Евдокимова Екатерина</t>
  </si>
  <si>
    <t>Егиазарян Лили</t>
  </si>
  <si>
    <t>Ергина Екатерина</t>
  </si>
  <si>
    <t>Ефимова Арина</t>
  </si>
  <si>
    <t>Ефимова Виктория</t>
  </si>
  <si>
    <t>Жабагинова София</t>
  </si>
  <si>
    <t>Жилинская Анастасия</t>
  </si>
  <si>
    <t>Зайнетдинова Виктория</t>
  </si>
  <si>
    <t>Иванилова Мария</t>
  </si>
  <si>
    <t>Иванова Алина</t>
  </si>
  <si>
    <t>Калачева Софья</t>
  </si>
  <si>
    <t>Капитонова Ксения</t>
  </si>
  <si>
    <t>Карпова Елизавета</t>
  </si>
  <si>
    <t>Качурина Мария</t>
  </si>
  <si>
    <t>Клюева Элина</t>
  </si>
  <si>
    <t>Ключникова София</t>
  </si>
  <si>
    <t>Колтович Елизавета</t>
  </si>
  <si>
    <t>Кондратьева Алла</t>
  </si>
  <si>
    <t>Кораблинова Анастасия</t>
  </si>
  <si>
    <t>Кострыгина Анастасия</t>
  </si>
  <si>
    <t>Кривкина Екатерина</t>
  </si>
  <si>
    <t>Кузнецов Игнатий</t>
  </si>
  <si>
    <t>Кутейников Роман</t>
  </si>
  <si>
    <t>Лавринова Вероника</t>
  </si>
  <si>
    <t>Лазарев Александр</t>
  </si>
  <si>
    <t>Лебедева Анастасия</t>
  </si>
  <si>
    <t>Левшина Екатерина</t>
  </si>
  <si>
    <t>Михеева Дарья</t>
  </si>
  <si>
    <t>Муравьева Надежда</t>
  </si>
  <si>
    <t>Муханова Мария</t>
  </si>
  <si>
    <t>Наумова Виктория</t>
  </si>
  <si>
    <t>Нестерова Мария</t>
  </si>
  <si>
    <t>Нэборока Анастасия</t>
  </si>
  <si>
    <t>Омельченко Каролина</t>
  </si>
  <si>
    <t>Петрова Елизавета</t>
  </si>
  <si>
    <t>Петросян Виктория</t>
  </si>
  <si>
    <t>Подгорнова Анастасия</t>
  </si>
  <si>
    <t>Подмошина Мария</t>
  </si>
  <si>
    <t>Половянова Софья</t>
  </si>
  <si>
    <t>Полуянова Алиса</t>
  </si>
  <si>
    <t>Полякова Ника</t>
  </si>
  <si>
    <t>Попова София</t>
  </si>
  <si>
    <t>Потапова Мария</t>
  </si>
  <si>
    <t>Родина Дарья</t>
  </si>
  <si>
    <t>Рудь Виктория</t>
  </si>
  <si>
    <t>Савельева Василиса</t>
  </si>
  <si>
    <t>Салий Мария</t>
  </si>
  <si>
    <t>Самойлина Милана</t>
  </si>
  <si>
    <t>Самотаева Вероника</t>
  </si>
  <si>
    <t>Санников Денис</t>
  </si>
  <si>
    <t>Семёнова Софья</t>
  </si>
  <si>
    <t>Серенок Алина</t>
  </si>
  <si>
    <t>Смоль Анна</t>
  </si>
  <si>
    <t>Ставцева Алиса</t>
  </si>
  <si>
    <t>Стефанович Ангелина</t>
  </si>
  <si>
    <t>Султанова Амина</t>
  </si>
  <si>
    <t>Татаурова Мария</t>
  </si>
  <si>
    <t>Телицын Илья</t>
  </si>
  <si>
    <t>Телицын Семён</t>
  </si>
  <si>
    <t>Тетюева Яна</t>
  </si>
  <si>
    <t>Ткаченко Ирина</t>
  </si>
  <si>
    <t>Трактин Елисей</t>
  </si>
  <si>
    <t>Трактина Таисия</t>
  </si>
  <si>
    <t>Ужакина Яна</t>
  </si>
  <si>
    <t>Ушмодина Ирина</t>
  </si>
  <si>
    <t>Федорова Алеся</t>
  </si>
  <si>
    <t>Франчук Арина</t>
  </si>
  <si>
    <t>Цубер Анна</t>
  </si>
  <si>
    <t>Чекмарев Никита</t>
  </si>
  <si>
    <t>Чекмарева Софья</t>
  </si>
  <si>
    <t>Чистухина Александра</t>
  </si>
  <si>
    <t>Чистухина Василиса</t>
  </si>
  <si>
    <t>Чугаев Максим</t>
  </si>
  <si>
    <t>Чугункова Кристина</t>
  </si>
  <si>
    <t>Шамбулина Мария</t>
  </si>
  <si>
    <t>Швецова Алиса</t>
  </si>
  <si>
    <t>Швецова Юлия</t>
  </si>
  <si>
    <t>Шестак Владимир</t>
  </si>
  <si>
    <t>Шестак Михаил</t>
  </si>
  <si>
    <t>Шульгач Вероника</t>
  </si>
  <si>
    <t>Шурупова Арина</t>
  </si>
  <si>
    <t>Щербакова Елизавета</t>
  </si>
  <si>
    <t>Щербакова Полина</t>
  </si>
  <si>
    <t>Бородинов Владислав, Сторогина Ольга, Соколков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</si>
</sst>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1" applyFont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164" fontId="0" fillId="0" borderId="1" xfId="0" applyNumberFormat="1" applyBorder="1" applyAlignment="1" applyProtection="1">
      <alignment horizontal="left" wrapText="1"/>
      <protection hidden="1"/>
    </xf>
    <xf numFmtId="164" fontId="0" fillId="0" borderId="1" xfId="0" applyNumberFormat="1" applyBorder="1" applyAlignment="1" applyProtection="1">
      <alignment horizontal="left"/>
      <protection hidden="1"/>
    </xf>
    <xf numFmtId="1" fontId="2" fillId="0" borderId="1" xfId="0" quotePrefix="1" applyNumberFormat="1" applyFont="1" applyBorder="1"/>
    <xf numFmtId="0" fontId="2" fillId="0" borderId="1" xfId="0" quotePrefix="1" applyFont="1" applyBorder="1"/>
    <xf numFmtId="17" fontId="2" fillId="0" borderId="1" xfId="0" quotePrefix="1" applyNumberFormat="1" applyFont="1" applyBorder="1"/>
    <xf numFmtId="0" fontId="3" fillId="0" borderId="5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 applyAlignment="1">
      <alignment textRotation="90"/>
    </xf>
    <xf numFmtId="0" fontId="2" fillId="0" borderId="7" xfId="0" applyFont="1" applyBorder="1"/>
    <xf numFmtId="0" fontId="2" fillId="0" borderId="0" xfId="0" applyFont="1" applyAlignment="1">
      <alignment horizontal="left"/>
    </xf>
    <xf numFmtId="0" fontId="1" fillId="0" borderId="0" xfId="1" applyAlignment="1">
      <alignment horizontal="left"/>
    </xf>
    <xf numFmtId="0" fontId="2" fillId="2" borderId="0" xfId="0" applyFont="1" applyFill="1"/>
    <xf numFmtId="0" fontId="5" fillId="3" borderId="1" xfId="0" applyFont="1" applyFill="1" applyBorder="1"/>
    <xf numFmtId="0" fontId="5" fillId="3" borderId="7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0" applyFont="1" applyBorder="1"/>
    <xf numFmtId="0" fontId="8" fillId="0" borderId="0" xfId="0" applyFont="1"/>
    <xf numFmtId="0" fontId="2" fillId="0" borderId="2" xfId="0" applyFont="1" applyFill="1" applyBorder="1" applyAlignment="1">
      <alignment textRotation="90"/>
    </xf>
    <xf numFmtId="0" fontId="2" fillId="0" borderId="6" xfId="0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0" fillId="2" borderId="2" xfId="0" applyFill="1" applyBorder="1" applyAlignment="1" applyProtection="1">
      <alignment horizontal="right" textRotation="90"/>
      <protection hidden="1"/>
    </xf>
    <xf numFmtId="0" fontId="2" fillId="2" borderId="2" xfId="0" applyFont="1" applyFill="1" applyBorder="1" applyAlignment="1">
      <alignment textRotation="90"/>
    </xf>
    <xf numFmtId="0" fontId="9" fillId="0" borderId="4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9" fillId="0" borderId="9" xfId="0" applyFont="1" applyBorder="1"/>
    <xf numFmtId="0" fontId="9" fillId="0" borderId="7" xfId="0" applyFont="1" applyBorder="1"/>
    <xf numFmtId="0" fontId="9" fillId="3" borderId="7" xfId="0" applyFont="1" applyFill="1" applyBorder="1"/>
    <xf numFmtId="0" fontId="2" fillId="0" borderId="10" xfId="0" applyFont="1" applyFill="1" applyBorder="1" applyAlignment="1">
      <alignment textRotation="90"/>
    </xf>
    <xf numFmtId="14" fontId="9" fillId="0" borderId="1" xfId="0" applyNumberFormat="1" applyFont="1" applyBorder="1"/>
    <xf numFmtId="0" fontId="2" fillId="0" borderId="5" xfId="0" applyFont="1" applyFill="1" applyBorder="1" applyAlignment="1">
      <alignment textRotation="90"/>
    </xf>
    <xf numFmtId="0" fontId="2" fillId="0" borderId="9" xfId="0" applyFont="1" applyBorder="1"/>
    <xf numFmtId="0" fontId="2" fillId="0" borderId="7" xfId="0" applyFont="1" applyBorder="1" applyAlignment="1">
      <alignment horizontal="right"/>
    </xf>
    <xf numFmtId="0" fontId="0" fillId="0" borderId="7" xfId="0" applyBorder="1"/>
    <xf numFmtId="1" fontId="2" fillId="0" borderId="7" xfId="0" quotePrefix="1" applyNumberFormat="1" applyFont="1" applyBorder="1"/>
    <xf numFmtId="0" fontId="2" fillId="0" borderId="7" xfId="0" quotePrefix="1" applyFont="1" applyBorder="1"/>
    <xf numFmtId="0" fontId="9" fillId="0" borderId="3" xfId="0" applyFont="1" applyBorder="1"/>
    <xf numFmtId="0" fontId="9" fillId="0" borderId="6" xfId="0" applyFont="1" applyBorder="1"/>
    <xf numFmtId="0" fontId="9" fillId="0" borderId="8" xfId="0" applyFont="1" applyBorder="1"/>
    <xf numFmtId="0" fontId="9" fillId="3" borderId="2" xfId="0" applyFont="1" applyFill="1" applyBorder="1"/>
    <xf numFmtId="0" fontId="2" fillId="4" borderId="2" xfId="0" applyFont="1" applyFill="1" applyBorder="1" applyAlignment="1">
      <alignment textRotation="90"/>
    </xf>
    <xf numFmtId="0" fontId="2" fillId="4" borderId="3" xfId="0" applyFont="1" applyFill="1" applyBorder="1"/>
    <xf numFmtId="0" fontId="9" fillId="4" borderId="3" xfId="0" applyFont="1" applyFill="1" applyBorder="1"/>
    <xf numFmtId="0" fontId="9" fillId="4" borderId="1" xfId="0" applyFont="1" applyFill="1" applyBorder="1"/>
    <xf numFmtId="0" fontId="2" fillId="4" borderId="1" xfId="0" applyFont="1" applyFill="1" applyBorder="1"/>
    <xf numFmtId="0" fontId="9" fillId="4" borderId="7" xfId="0" applyFont="1" applyFill="1" applyBorder="1"/>
    <xf numFmtId="0" fontId="2" fillId="4" borderId="7" xfId="0" applyFont="1" applyFill="1" applyBorder="1"/>
    <xf numFmtId="0" fontId="9" fillId="4" borderId="6" xfId="0" applyFont="1" applyFill="1" applyBorder="1"/>
    <xf numFmtId="164" fontId="9" fillId="3" borderId="1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0" fillId="0" borderId="7" xfId="0" applyNumberFormat="1" applyBorder="1" applyAlignment="1" applyProtection="1">
      <alignment horizontal="left" wrapText="1"/>
      <protection hidden="1"/>
    </xf>
    <xf numFmtId="164" fontId="0" fillId="0" borderId="7" xfId="0" applyNumberFormat="1" applyBorder="1" applyAlignment="1" applyProtection="1">
      <alignment horizontal="left"/>
      <protection hidden="1"/>
    </xf>
    <xf numFmtId="0" fontId="2" fillId="5" borderId="11" xfId="0" applyFont="1" applyFill="1" applyBorder="1"/>
    <xf numFmtId="0" fontId="2" fillId="6" borderId="0" xfId="0" applyFont="1" applyFill="1"/>
    <xf numFmtId="164" fontId="9" fillId="0" borderId="1" xfId="0" applyNumberFormat="1" applyFont="1" applyBorder="1"/>
    <xf numFmtId="164" fontId="9" fillId="3" borderId="7" xfId="0" applyNumberFormat="1" applyFont="1" applyFill="1" applyBorder="1"/>
    <xf numFmtId="164" fontId="2" fillId="0" borderId="1" xfId="0" applyNumberFormat="1" applyFont="1" applyBorder="1"/>
    <xf numFmtId="164" fontId="9" fillId="0" borderId="7" xfId="0" applyNumberFormat="1" applyFont="1" applyBorder="1"/>
  </cellXfs>
  <cellStyles count="2">
    <cellStyle name="Гиперссылка" xfId="1" builtinId="8"/>
    <cellStyle name="Обычный" xfId="0" builtinId="0"/>
  </cellStyles>
  <dxfs count="2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z val="12"/>
      </font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8:DR522" totalsRowShown="0" headerRowDxfId="260" dataDxfId="258" headerRowBorderDxfId="259" tableBorderDxfId="257" totalsRowBorderDxfId="256">
  <autoFilter ref="A8:DR522"/>
  <sortState ref="A9:DR522">
    <sortCondition ref="DO8:DO522"/>
  </sortState>
  <tableColumns count="122">
    <tableColumn id="1" name="№" dataDxfId="255"/>
    <tableColumn id="2" name="Фамилия Имя Солиста или Пары" dataDxfId="254"/>
    <tableColumn id="4" name="Клуб" dataDxfId="253"/>
    <tableColumn id="6" name="Руководители" dataDxfId="252"/>
    <tableColumn id="7" name="Dancepride Trophy J 7 лет и мл. СОЛО  " dataDxfId="251"/>
    <tableColumn id="8" name="Dancepride Trophy Q 7 лет и мл. СОЛО  " dataDxfId="250"/>
    <tableColumn id="9" name="Dancepride Trophy W+CH+PL 7 лет и мл. СОЛО  " dataDxfId="249"/>
    <tableColumn id="10" name="Зачет на N 7 и мл. Соло W" dataDxfId="248"/>
    <tableColumn id="11" name="Зачет на N 7 и мл. Соло Q" dataDxfId="247"/>
    <tableColumn id="12" name="Зачет на N 7 и мл. Соло CH" dataDxfId="246"/>
    <tableColumn id="13" name="Зачет на N 7 и мл. Соло J" dataDxfId="245"/>
    <tableColumn id="14" name="Зачет ШБТ 7 и мл. ПАРЫ W" dataDxfId="244"/>
    <tableColumn id="16" name="Зачет ШБТ 7 и мл. ПАРЫ CH" dataDxfId="243"/>
    <tableColumn id="17" name="Зачет ШБТ 7 и мл. ПАРЫ PL" dataDxfId="242"/>
    <tableColumn id="18" name="Зачет ШБТ 7 и мл. Соло W" dataDxfId="241"/>
    <tableColumn id="19" name="Зачет ШБТ 7 и мл. Соло CH" dataDxfId="240"/>
    <tableColumn id="20" name="Зачет ШБТ 7 и мл. Соло PL" dataDxfId="239"/>
    <tableColumn id="21" name="Классификация N 7 лет и мл. СОЛО  " dataDxfId="238"/>
    <tableColumn id="22" name="5 лет и мл.  Кубок Ча-Ча-Ча СОЛО" dataDxfId="237"/>
    <tableColumn id="23" name="7 лет и мл.  Кубок Ча-Ча-Ча ПАРЫ" dataDxfId="236"/>
    <tableColumn id="24" name="7 лет и мл.  Кубок Ча-Ча-Ча СОЛО" dataDxfId="235"/>
    <tableColumn id="25" name="7 лет и мл.  Кубок Джайва СОЛО" dataDxfId="234"/>
    <tableColumn id="26" name="5 лет и мл.  Кубок Польки СОЛО" dataDxfId="233"/>
    <tableColumn id="27" name="7 лет и мл.  Кубок Польки ПАРЫ" dataDxfId="232"/>
    <tableColumn id="28" name="7 лет и мл.  Кубок Польки СОЛО" dataDxfId="231"/>
    <tableColumn id="29" name="7 лет и мл.  Кубок Квикстепа СОЛО" dataDxfId="230"/>
    <tableColumn id="30" name="5 лет и мл.  Кубок Вальса СОЛО" dataDxfId="229"/>
    <tableColumn id="31" name="7 лет и мл.  Кубок Вальса ПАРЫ" dataDxfId="228"/>
    <tableColumn id="32" name="7 лет и мл.  Кубок Вальса СОЛО" dataDxfId="227"/>
    <tableColumn id="33" name="Dancepride Trophy CH 9 лет и мл. СОЛО  " dataDxfId="226"/>
    <tableColumn id="34" name="Dancepride Trophy CH+J 9 лет и мл. ПАРЫ  " dataDxfId="225"/>
    <tableColumn id="35" name="Dancepride Trophy CH+J 9 лет и мл. СОЛО  " dataDxfId="224"/>
    <tableColumn id="36" name="Dancepride Trophy HH 9 лет и мл. СОЛО  " dataDxfId="223"/>
    <tableColumn id="37" name="Dancepride Trophy W 9 лет и мл. СОЛО  " dataDxfId="222"/>
    <tableColumn id="38" name="Dancepride Trophy W+CH+PL 9 лет и мл. СОЛО  " dataDxfId="221"/>
    <tableColumn id="39" name="Dancepride Trophy W+Q 9 лет и мл. ПАРЫ  " dataDxfId="220"/>
    <tableColumn id="40" name="Dancepride Trophy W+Q 9 лет и мл. СОЛО  " dataDxfId="219"/>
    <tableColumn id="41" name="Зачет на E 9 и мл. Соло T" dataDxfId="218"/>
    <tableColumn id="42" name="Зачет на E 9 и мл. Соло R" dataDxfId="217"/>
    <tableColumn id="43" name="Зачет на N 9 и мл. ПАРЫ W" dataDxfId="216"/>
    <tableColumn id="44" name="Зачет на N 9 и мл. ПАРЫ Q" dataDxfId="215"/>
    <tableColumn id="45" name="Зачет на N 9 и мл. ПАРЫ CH" dataDxfId="214"/>
    <tableColumn id="46" name="Зачет на N 9 и мл. ПАРЫ J" dataDxfId="213"/>
    <tableColumn id="47" name="Зачет на N 9 и мл. Соло W" dataDxfId="212"/>
    <tableColumn id="48" name="Зачет на N 9 и мл. Соло Q" dataDxfId="211"/>
    <tableColumn id="49" name="Зачет на N 9 и мл. Соло CH" dataDxfId="210"/>
    <tableColumn id="50" name="Зачет на N 9 и мл. Соло J" dataDxfId="209"/>
    <tableColumn id="51" name="Зачет ШБТ 9 и мл. ПАРЫ W" dataDxfId="208"/>
    <tableColumn id="52" name="Зачет ШБТ 9 и мл. ПАРЫ CH" dataDxfId="207"/>
    <tableColumn id="53" name="Зачет ШБТ 9 и мл. ПАРЫ PL" dataDxfId="206"/>
    <tableColumn id="54" name="Зачет ШБТ 9 и мл. Соло W" dataDxfId="205"/>
    <tableColumn id="55" name="Зачет ШБТ 9 и мл. Соло CH" dataDxfId="204"/>
    <tableColumn id="56" name="Зачет ШБТ 9 и мл. Соло J" dataDxfId="203"/>
    <tableColumn id="57" name="Классификация E 9 лет и мл. ПАРЫ  " dataDxfId="202"/>
    <tableColumn id="58" name="Классификация E 9 лет и мл. СОЛО  " dataDxfId="201"/>
    <tableColumn id="59" name="Классификация N 9 лет и мл. ПАРЫ  " dataDxfId="200"/>
    <tableColumn id="60" name="Классификация N 9 лет и мл. СОЛО  " dataDxfId="199"/>
    <tableColumn id="61" name="9 лет и мл.  Кубок Ча-Ча-Ча ПАРЫ" dataDxfId="198"/>
    <tableColumn id="62" name="9 лет и мл.  Кубок Ча-Ча-Ча СОЛО" dataDxfId="197"/>
    <tableColumn id="63" name="9 лет и мл.  Кубок Джайва ПАРЫ" dataDxfId="196"/>
    <tableColumn id="64" name="9 лет и мл.  Кубок Джайва СОЛО" dataDxfId="195"/>
    <tableColumn id="65" name="9 лет и мл.  Кубок Польки ПАРЫ" dataDxfId="194"/>
    <tableColumn id="66" name="9 лет и мл.  Кубок Польки СОЛО" dataDxfId="193"/>
    <tableColumn id="67" name="9 лет и мл.  Кубок Квикстепа ПАРЫ" dataDxfId="192"/>
    <tableColumn id="68" name="9 лет и мл.  Кубок Квикстепа СОЛО" dataDxfId="191"/>
    <tableColumn id="69" name="9 лет и мл.  Кубок Румбы СОЛО" dataDxfId="190"/>
    <tableColumn id="70" name="9 лет и мл.  Кубок Самбы СОЛО" dataDxfId="189"/>
    <tableColumn id="71" name="9 лет и мл.  Кубок Танго СОЛО" dataDxfId="188"/>
    <tableColumn id="72" name="9 лет и мл.  Кубок Венского Вальса СОЛО" dataDxfId="187"/>
    <tableColumn id="73" name="9 лет и мл.  Кубок Вальса ПАРЫ" dataDxfId="186"/>
    <tableColumn id="74" name="9 лет и мл.  Кубок Вальса СОЛО" dataDxfId="185"/>
    <tableColumn id="75" name="Dancepride Trophy CH+J 11 лет и мл. ПАРЫ  " dataDxfId="184"/>
    <tableColumn id="76" name="Dancepride Trophy CH+J 11 лет и мл. СОЛО  " dataDxfId="183"/>
    <tableColumn id="77" name="Dancepride Trophy Cha 10 лет и ст. ПАРЫ  " dataDxfId="182"/>
    <tableColumn id="78" name="Dancepride Trophy HH 10 и ст. СОЛО  " dataDxfId="181"/>
    <tableColumn id="79" name="Dancepride Trophy J 10 лет и ст. ПАРЫ  " dataDxfId="180"/>
    <tableColumn id="80" name="Dancepride Trophy Q 10 лет и ст. ПАРЫ  " dataDxfId="179"/>
    <tableColumn id="81" name="Dancepride Trophy R 10 лет и ст. ПАРЫ  " dataDxfId="178"/>
    <tableColumn id="82" name="Dancepride Trophy T 10 лет и ст. ПАРЫ  " dataDxfId="177"/>
    <tableColumn id="83" name="Dancepride Trophy W 10 лет и ст. ПАРЫ  " dataDxfId="176"/>
    <tableColumn id="84" name="Dancepride Trophy W+Q 11 лет и мл. ПАРЫ  " dataDxfId="175"/>
    <tableColumn id="85" name="Dancepride Trophy W+Q 11 лет и мл. СОЛО  " dataDxfId="174"/>
    <tableColumn id="86" name="Solo LA CH+R+J 10 лет и ст.  " dataDxfId="173"/>
    <tableColumn id="87" name="Зачет на N 10 и ст. ПАРЫ W" dataDxfId="172"/>
    <tableColumn id="88" name="Зачет на N 10 и ст. ПАРЫ Q" dataDxfId="171"/>
    <tableColumn id="89" name="Зачет на N 10 и ст. ПАРЫ CH" dataDxfId="170"/>
    <tableColumn id="90" name="Зачет на N 10 и ст. ПАРЫ J" dataDxfId="169"/>
    <tableColumn id="91" name="Зачет на N 10 и ст. Соло W" dataDxfId="168"/>
    <tableColumn id="92" name="Зачет на N 10 и ст. Соло Q" dataDxfId="167"/>
    <tableColumn id="93" name="Зачет на N 10 и ст. Соло CH" dataDxfId="166"/>
    <tableColumn id="94" name="Зачет на N 10 и ст. Соло J" dataDxfId="165"/>
    <tableColumn id="95" name="Зачет ШБТ 10 и ст. Соло W" dataDxfId="164"/>
    <tableColumn id="96" name="Зачет ШБТ 10 и ст. Соло CH" dataDxfId="163"/>
    <tableColumn id="97" name="Зачет ШБТ 10 и ст. Соло PL" dataDxfId="162"/>
    <tableColumn id="98" name="Классификация E 11 лет и мл. ПАРЫ  " dataDxfId="161"/>
    <tableColumn id="99" name="Классификация E 11 лет и мл. СОЛО  " dataDxfId="160"/>
    <tableColumn id="100" name="Классификация E 12 лет и ст. ПАРЫ  " dataDxfId="159"/>
    <tableColumn id="101" name="Классификация E 12 лет и ст. СОЛО  " dataDxfId="158"/>
    <tableColumn id="102" name="Классификация N 11 лет и мл. ПАРЫ  " dataDxfId="157"/>
    <tableColumn id="103" name="Классификация N 11 лет и мл. СОЛО  " dataDxfId="156"/>
    <tableColumn id="104" name="Классификация N 12 лет и ст. ПАРЫ  " dataDxfId="155"/>
    <tableColumn id="105" name="Классификация N 12 лет и ст. СОЛО  " dataDxfId="154"/>
    <tableColumn id="106" name="10 лет и ст.  Кубок Ча-Ча-Ча ПАРЫ" dataDxfId="153"/>
    <tableColumn id="107" name="10 лет и ст.  Кубок Ча-Ча-Ча СОЛО" dataDxfId="152"/>
    <tableColumn id="108" name="10 лет и ст.  Кубок Фокстрота ПАРЫ" dataDxfId="151"/>
    <tableColumn id="109" name="10 лет и ст.  Кубок Фокстрота СОЛО" dataDxfId="150"/>
    <tableColumn id="110" name="10 лет и ст.  Кубок Джайва СОЛО" dataDxfId="149"/>
    <tableColumn id="111" name="10 лет и ст.  Кубок Пасодобля ПАРЫ" dataDxfId="148"/>
    <tableColumn id="112" name="10 лет и ст.  Кубок Пасодобля СОЛО" dataDxfId="147"/>
    <tableColumn id="113" name="10 лет и ст.  Кубок Квикстепа СОЛО" dataDxfId="146"/>
    <tableColumn id="114" name="10 лет и ст.  Кубок Румбы ПАРЫ" dataDxfId="145"/>
    <tableColumn id="115" name="10 лет и ст.  Кубок Румбы СОЛО" dataDxfId="144"/>
    <tableColumn id="116" name="10 лет и ст.  Кубок Самбы ПАРЫ" dataDxfId="143"/>
    <tableColumn id="124" name="10 лет и ст.  Кубок Самбы СОЛО" dataDxfId="142"/>
    <tableColumn id="125" name="10 лет и ст.  Кубок Танго СОЛО" dataDxfId="141"/>
    <tableColumn id="126" name="10 лет и ст.  Кубок Венского Вальса ПАРЫ" dataDxfId="140"/>
    <tableColumn id="127" name="10 лет и ст.  Кубок Венского Вальса СОЛО" dataDxfId="139"/>
    <tableColumn id="5" name="10 лет и ст.  Кубок Вальса ПАРЫ" dataDxfId="138"/>
    <tableColumn id="15" name="10 лет и ст.  Кубок Вальса СОЛО" dataDxfId="137"/>
    <tableColumn id="128" name="Столбец4" dataDxfId="136"/>
    <tableColumn id="117" name="РЕГ НТЛ" dataDxfId="135"/>
    <tableColumn id="118" name="РЕЙТ Q" dataDxfId="134">
      <calculatedColumnFormula>PRODUCT(Таблица1[[#This Row],[Столбец4]:[РЕГ НТЛ]])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242" displayName="Таблица242" ref="A1:F13" totalsRowShown="0">
  <autoFilter ref="A1:F13"/>
  <sortState ref="A2:F13">
    <sortCondition descending="1" ref="F1:F13"/>
  </sortState>
  <tableColumns count="6">
    <tableColumn id="1" name="Клубы"/>
    <tableColumn id="2" name="Руководители"/>
    <tableColumn id="3" name="N" dataDxfId="133"/>
    <tableColumn id="4" name="R" dataDxfId="132"/>
    <tableColumn id="5" name="Q" dataDxfId="131"/>
    <tableColumn id="6" name="S" dataDxfId="13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423" displayName="Таблица2423" ref="A2:F13" totalsRowShown="0">
  <autoFilter ref="A2:F13"/>
  <sortState ref="A3:F13">
    <sortCondition descending="1" ref="F2:F13"/>
  </sortState>
  <tableColumns count="6">
    <tableColumn id="7" name="Клубы" dataDxfId="129"/>
    <tableColumn id="1" name="Руководители"/>
    <tableColumn id="2" name="N" dataDxfId="128"/>
    <tableColumn id="3" name="R" dataDxfId="127">
      <calculatedColumnFormula>PRODUCT(Таблица2423[[#This Row],[N]],100,1/77)</calculatedColumnFormula>
    </tableColumn>
    <tableColumn id="4" name="Q" dataDxfId="126"/>
    <tableColumn id="5" name="S" dataDxfId="125">
      <calculatedColumnFormula>SUM(Таблица2423[[#This Row],[N]:[Q]])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15" displayName="Таблица15" ref="A8:DP522" totalsRowShown="0" headerRowDxfId="124" dataDxfId="122" headerRowBorderDxfId="123" tableBorderDxfId="121" totalsRowBorderDxfId="120">
  <autoFilter ref="A8:DP522">
    <filterColumn colId="2">
      <filters>
        <filter val="Шедевр"/>
      </filters>
    </filterColumn>
  </autoFilter>
  <sortState ref="A9:DR522">
    <sortCondition ref="DO8:DO522"/>
  </sortState>
  <tableColumns count="120">
    <tableColumn id="1" name="№" dataDxfId="119"/>
    <tableColumn id="2" name="Фамилия Имя Солиста или Пары" dataDxfId="118"/>
    <tableColumn id="4" name="Клуб" dataDxfId="117"/>
    <tableColumn id="6" name="Руководители" dataDxfId="116"/>
    <tableColumn id="7" name="Dancepride Trophy J 7 лет и мл. СОЛО  " dataDxfId="115"/>
    <tableColumn id="8" name="Dancepride Trophy Q 7 лет и мл. СОЛО  " dataDxfId="114"/>
    <tableColumn id="9" name="Dancepride Trophy W+CH+PL 7 лет и мл. СОЛО  " dataDxfId="113"/>
    <tableColumn id="10" name="Зачет на N 7 и мл. Соло W" dataDxfId="112"/>
    <tableColumn id="11" name="Зачет на N 7 и мл. Соло Q" dataDxfId="111"/>
    <tableColumn id="12" name="Зачет на N 7 и мл. Соло CH" dataDxfId="110"/>
    <tableColumn id="13" name="Зачет на N 7 и мл. Соло J" dataDxfId="109"/>
    <tableColumn id="14" name="Зачет ШБТ 7 и мл. ПАРЫ W" dataDxfId="108"/>
    <tableColumn id="16" name="Зачет ШБТ 7 и мл. ПАРЫ CH" dataDxfId="107"/>
    <tableColumn id="17" name="Зачет ШБТ 7 и мл. ПАРЫ PL" dataDxfId="106"/>
    <tableColumn id="18" name="Зачет ШБТ 7 и мл. Соло W" dataDxfId="105"/>
    <tableColumn id="19" name="Зачет ШБТ 7 и мл. Соло CH" dataDxfId="104"/>
    <tableColumn id="20" name="Зачет ШБТ 7 и мл. Соло PL" dataDxfId="103"/>
    <tableColumn id="21" name="Классификация N 7 лет и мл. СОЛО  " dataDxfId="102"/>
    <tableColumn id="22" name="5 лет и мл.  Кубок Ча-Ча-Ча СОЛО" dataDxfId="101"/>
    <tableColumn id="23" name="7 лет и мл.  Кубок Ча-Ча-Ча ПАРЫ" dataDxfId="100"/>
    <tableColumn id="24" name="7 лет и мл.  Кубок Ча-Ча-Ча СОЛО" dataDxfId="99"/>
    <tableColumn id="25" name="7 лет и мл.  Кубок Джайва СОЛО" dataDxfId="98"/>
    <tableColumn id="26" name="5 лет и мл.  Кубок Польки СОЛО" dataDxfId="97"/>
    <tableColumn id="27" name="7 лет и мл.  Кубок Польки ПАРЫ" dataDxfId="96"/>
    <tableColumn id="28" name="7 лет и мл.  Кубок Польки СОЛО" dataDxfId="95"/>
    <tableColumn id="29" name="7 лет и мл.  Кубок Квикстепа СОЛО" dataDxfId="94"/>
    <tableColumn id="30" name="5 лет и мл.  Кубок Вальса СОЛО" dataDxfId="93"/>
    <tableColumn id="31" name="7 лет и мл.  Кубок Вальса ПАРЫ" dataDxfId="92"/>
    <tableColumn id="32" name="7 лет и мл.  Кубок Вальса СОЛО" dataDxfId="91"/>
    <tableColumn id="33" name="Dancepride Trophy CH 9 лет и мл. СОЛО  " dataDxfId="90"/>
    <tableColumn id="34" name="Dancepride Trophy CH+J 9 лет и мл. ПАРЫ  " dataDxfId="89"/>
    <tableColumn id="35" name="Dancepride Trophy CH+J 9 лет и мл. СОЛО  " dataDxfId="88"/>
    <tableColumn id="36" name="Dancepride Trophy HH 9 лет и мл. СОЛО  " dataDxfId="87"/>
    <tableColumn id="37" name="Dancepride Trophy W 9 лет и мл. СОЛО  " dataDxfId="86"/>
    <tableColumn id="38" name="Dancepride Trophy W+CH+PL 9 лет и мл. СОЛО  " dataDxfId="85"/>
    <tableColumn id="39" name="Dancepride Trophy W+Q 9 лет и мл. ПАРЫ  " dataDxfId="84"/>
    <tableColumn id="40" name="Dancepride Trophy W+Q 9 лет и мл. СОЛО  " dataDxfId="83"/>
    <tableColumn id="41" name="Зачет на E 9 и мл. Соло T" dataDxfId="82"/>
    <tableColumn id="42" name="Зачет на E 9 и мл. Соло R" dataDxfId="81"/>
    <tableColumn id="43" name="Зачет на N 9 и мл. ПАРЫ W" dataDxfId="80"/>
    <tableColumn id="44" name="Зачет на N 9 и мл. ПАРЫ Q" dataDxfId="79"/>
    <tableColumn id="45" name="Зачет на N 9 и мл. ПАРЫ CH" dataDxfId="78"/>
    <tableColumn id="46" name="Зачет на N 9 и мл. ПАРЫ J" dataDxfId="77"/>
    <tableColumn id="47" name="Зачет на N 9 и мл. Соло W" dataDxfId="76"/>
    <tableColumn id="48" name="Зачет на N 9 и мл. Соло Q" dataDxfId="75"/>
    <tableColumn id="49" name="Зачет на N 9 и мл. Соло CH" dataDxfId="74"/>
    <tableColumn id="50" name="Зачет на N 9 и мл. Соло J" dataDxfId="73"/>
    <tableColumn id="51" name="Зачет ШБТ 9 и мл. ПАРЫ W" dataDxfId="72"/>
    <tableColumn id="52" name="Зачет ШБТ 9 и мл. ПАРЫ CH" dataDxfId="71"/>
    <tableColumn id="53" name="Зачет ШБТ 9 и мл. ПАРЫ PL" dataDxfId="70"/>
    <tableColumn id="54" name="Зачет ШБТ 9 и мл. Соло W" dataDxfId="69"/>
    <tableColumn id="55" name="Зачет ШБТ 9 и мл. Соло CH" dataDxfId="68"/>
    <tableColumn id="56" name="Зачет ШБТ 9 и мл. Соло J" dataDxfId="67"/>
    <tableColumn id="57" name="Классификация E 9 лет и мл. ПАРЫ  " dataDxfId="66"/>
    <tableColumn id="58" name="Классификация E 9 лет и мл. СОЛО  " dataDxfId="65"/>
    <tableColumn id="59" name="Классификация N 9 лет и мл. ПАРЫ  " dataDxfId="64"/>
    <tableColumn id="60" name="Классификация N 9 лет и мл. СОЛО  " dataDxfId="63"/>
    <tableColumn id="61" name="9 лет и мл.  Кубок Ча-Ча-Ча ПАРЫ" dataDxfId="62"/>
    <tableColumn id="62" name="9 лет и мл.  Кубок Ча-Ча-Ча СОЛО" dataDxfId="61"/>
    <tableColumn id="63" name="9 лет и мл.  Кубок Джайва ПАРЫ" dataDxfId="60"/>
    <tableColumn id="64" name="9 лет и мл.  Кубок Джайва СОЛО" dataDxfId="59"/>
    <tableColumn id="65" name="9 лет и мл.  Кубок Польки ПАРЫ" dataDxfId="58"/>
    <tableColumn id="66" name="9 лет и мл.  Кубок Польки СОЛО" dataDxfId="57"/>
    <tableColumn id="67" name="9 лет и мл.  Кубок Квикстепа ПАРЫ" dataDxfId="56"/>
    <tableColumn id="68" name="9 лет и мл.  Кубок Квикстепа СОЛО" dataDxfId="55"/>
    <tableColumn id="69" name="9 лет и мл.  Кубок Румбы СОЛО" dataDxfId="54"/>
    <tableColumn id="70" name="9 лет и мл.  Кубок Самбы СОЛО" dataDxfId="53"/>
    <tableColumn id="71" name="9 лет и мл.  Кубок Танго СОЛО" dataDxfId="52"/>
    <tableColumn id="72" name="9 лет и мл.  Кубок Венского Вальса СОЛО" dataDxfId="51"/>
    <tableColumn id="73" name="9 лет и мл.  Кубок Вальса ПАРЫ" dataDxfId="50"/>
    <tableColumn id="74" name="9 лет и мл.  Кубок Вальса СОЛО" dataDxfId="49"/>
    <tableColumn id="75" name="Dancepride Trophy CH+J 11 лет и мл. ПАРЫ  " dataDxfId="48"/>
    <tableColumn id="76" name="Dancepride Trophy CH+J 11 лет и мл. СОЛО  " dataDxfId="47"/>
    <tableColumn id="77" name="Dancepride Trophy Cha 10 лет и ст. ПАРЫ  " dataDxfId="46"/>
    <tableColumn id="78" name="Dancepride Trophy HH 10 и ст. СОЛО  " dataDxfId="45"/>
    <tableColumn id="79" name="Dancepride Trophy J 10 лет и ст. ПАРЫ  " dataDxfId="44"/>
    <tableColumn id="80" name="Dancepride Trophy Q 10 лет и ст. ПАРЫ  " dataDxfId="43"/>
    <tableColumn id="81" name="Dancepride Trophy R 10 лет и ст. ПАРЫ  " dataDxfId="42"/>
    <tableColumn id="82" name="Dancepride Trophy T 10 лет и ст. ПАРЫ  " dataDxfId="41"/>
    <tableColumn id="83" name="Dancepride Trophy W 10 лет и ст. ПАРЫ  " dataDxfId="40"/>
    <tableColumn id="84" name="Dancepride Trophy W+Q 11 лет и мл. ПАРЫ  " dataDxfId="39"/>
    <tableColumn id="85" name="Dancepride Trophy W+Q 11 лет и мл. СОЛО  " dataDxfId="38"/>
    <tableColumn id="86" name="Solo LA CH+R+J 10 лет и ст.  " dataDxfId="37"/>
    <tableColumn id="87" name="Зачет на N 10 и ст. ПАРЫ W" dataDxfId="36"/>
    <tableColumn id="88" name="Зачет на N 10 и ст. ПАРЫ Q" dataDxfId="35"/>
    <tableColumn id="89" name="Зачет на N 10 и ст. ПАРЫ CH" dataDxfId="34"/>
    <tableColumn id="90" name="Зачет на N 10 и ст. ПАРЫ J" dataDxfId="33"/>
    <tableColumn id="91" name="Зачет на N 10 и ст. Соло W" dataDxfId="32"/>
    <tableColumn id="92" name="Зачет на N 10 и ст. Соло Q" dataDxfId="31"/>
    <tableColumn id="93" name="Зачет на N 10 и ст. Соло CH" dataDxfId="30"/>
    <tableColumn id="94" name="Зачет на N 10 и ст. Соло J" dataDxfId="29"/>
    <tableColumn id="95" name="Зачет ШБТ 10 и ст. Соло W" dataDxfId="28"/>
    <tableColumn id="96" name="Зачет ШБТ 10 и ст. Соло CH" dataDxfId="27"/>
    <tableColumn id="97" name="Зачет ШБТ 10 и ст. Соло PL" dataDxfId="26"/>
    <tableColumn id="98" name="Классификация E 11 лет и мл. ПАРЫ  " dataDxfId="25"/>
    <tableColumn id="99" name="Классификация E 11 лет и мл. СОЛО  " dataDxfId="24"/>
    <tableColumn id="100" name="Классификация E 12 лет и ст. ПАРЫ  " dataDxfId="23"/>
    <tableColumn id="101" name="Классификация E 12 лет и ст. СОЛО  " dataDxfId="22"/>
    <tableColumn id="102" name="Классификация N 11 лет и мл. ПАРЫ  " dataDxfId="21"/>
    <tableColumn id="103" name="Классификация N 11 лет и мл. СОЛО  " dataDxfId="20"/>
    <tableColumn id="104" name="Классификация N 12 лет и ст. ПАРЫ  " dataDxfId="19"/>
    <tableColumn id="105" name="Классификация N 12 лет и ст. СОЛО  " dataDxfId="18"/>
    <tableColumn id="106" name="10 лет и ст.  Кубок Ча-Ча-Ча ПАРЫ" dataDxfId="17"/>
    <tableColumn id="107" name="10 лет и ст.  Кубок Ча-Ча-Ча СОЛО" dataDxfId="16"/>
    <tableColumn id="108" name="10 лет и ст.  Кубок Фокстрота ПАРЫ" dataDxfId="15"/>
    <tableColumn id="109" name="10 лет и ст.  Кубок Фокстрота СОЛО" dataDxfId="14"/>
    <tableColumn id="110" name="10 лет и ст.  Кубок Джайва СОЛО" dataDxfId="13"/>
    <tableColumn id="111" name="10 лет и ст.  Кубок Пасодобля ПАРЫ" dataDxfId="12"/>
    <tableColumn id="112" name="10 лет и ст.  Кубок Пасодобля СОЛО" dataDxfId="11"/>
    <tableColumn id="113" name="10 лет и ст.  Кубок Квикстепа СОЛО" dataDxfId="10"/>
    <tableColumn id="114" name="10 лет и ст.  Кубок Румбы ПАРЫ" dataDxfId="9"/>
    <tableColumn id="115" name="10 лет и ст.  Кубок Румбы СОЛО" dataDxfId="8"/>
    <tableColumn id="116" name="10 лет и ст.  Кубок Самбы ПАРЫ" dataDxfId="7"/>
    <tableColumn id="124" name="10 лет и ст.  Кубок Самбы СОЛО" dataDxfId="6"/>
    <tableColumn id="125" name="10 лет и ст.  Кубок Танго СОЛО" dataDxfId="5"/>
    <tableColumn id="126" name="10 лет и ст.  Кубок Венского Вальса ПАРЫ" dataDxfId="4"/>
    <tableColumn id="127" name="10 лет и ст.  Кубок Венского Вальса СОЛО" dataDxfId="3"/>
    <tableColumn id="5" name="10 лет и ст.  Кубок Вальса ПАРЫ" dataDxfId="2"/>
    <tableColumn id="15" name="10 лет и ст.  Кубок Вальса СОЛО" dataDxfId="1"/>
    <tableColumn id="128" name="РЕЙТ Q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dykov@dancepride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ydykov@danceprid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522"/>
  <sheetViews>
    <sheetView tabSelected="1" zoomScale="90" zoomScaleNormal="90" workbookViewId="0">
      <selection activeCell="DY6" sqref="DY6"/>
    </sheetView>
  </sheetViews>
  <sheetFormatPr defaultRowHeight="15" x14ac:dyDescent="0.25"/>
  <cols>
    <col min="1" max="1" width="7.140625" style="3" customWidth="1"/>
    <col min="2" max="2" width="40.85546875" style="3" customWidth="1"/>
    <col min="3" max="3" width="23.42578125" style="3" customWidth="1"/>
    <col min="4" max="4" width="18.42578125" style="3" hidden="1" customWidth="1"/>
    <col min="5" max="15" width="3.7109375" style="3" hidden="1" customWidth="1"/>
    <col min="16" max="16" width="5" style="3" hidden="1" customWidth="1"/>
    <col min="17" max="69" width="3.7109375" style="3" hidden="1" customWidth="1"/>
    <col min="70" max="71" width="3.7109375" style="3" customWidth="1"/>
    <col min="72" max="103" width="3.7109375" style="3" hidden="1" customWidth="1"/>
    <col min="104" max="106" width="3.7109375" style="3" customWidth="1"/>
    <col min="107" max="111" width="3.7109375" style="3" hidden="1" customWidth="1"/>
    <col min="112" max="112" width="3.7109375" style="3" customWidth="1"/>
    <col min="113" max="113" width="3.7109375" style="3" hidden="1" customWidth="1"/>
    <col min="114" max="115" width="3.7109375" style="3" customWidth="1"/>
    <col min="116" max="116" width="3.7109375" style="3" hidden="1" customWidth="1"/>
    <col min="117" max="117" width="3.7109375" style="3" customWidth="1"/>
    <col min="118" max="118" width="3.7109375" style="3" hidden="1" customWidth="1"/>
    <col min="119" max="134" width="3.7109375" style="3" customWidth="1"/>
    <col min="135" max="138" width="4.5703125" style="3" customWidth="1"/>
    <col min="139" max="139" width="2.28515625" style="3" customWidth="1"/>
    <col min="140" max="156" width="5" style="3" customWidth="1"/>
    <col min="157" max="16384" width="9.140625" style="3"/>
  </cols>
  <sheetData>
    <row r="1" spans="1:122" x14ac:dyDescent="0.25">
      <c r="A1" s="4" t="s">
        <v>10</v>
      </c>
      <c r="E1" s="22"/>
      <c r="F1" s="3" t="s">
        <v>96</v>
      </c>
    </row>
    <row r="2" spans="1:122" x14ac:dyDescent="0.25">
      <c r="A2" s="4" t="s">
        <v>4</v>
      </c>
      <c r="B2" s="5"/>
      <c r="C2" s="20" t="s">
        <v>106</v>
      </c>
    </row>
    <row r="3" spans="1:122" x14ac:dyDescent="0.25">
      <c r="A3" s="4" t="s">
        <v>6</v>
      </c>
      <c r="B3" s="6"/>
      <c r="C3" s="20" t="s">
        <v>107</v>
      </c>
    </row>
    <row r="4" spans="1:122" x14ac:dyDescent="0.25">
      <c r="A4" s="4" t="s">
        <v>5</v>
      </c>
      <c r="C4" s="20" t="s">
        <v>93</v>
      </c>
    </row>
    <row r="5" spans="1:122" x14ac:dyDescent="0.25">
      <c r="A5" s="4" t="s">
        <v>7</v>
      </c>
      <c r="C5" s="20" t="s">
        <v>94</v>
      </c>
    </row>
    <row r="6" spans="1:122" x14ac:dyDescent="0.25">
      <c r="A6" s="4" t="s">
        <v>8</v>
      </c>
      <c r="C6" s="20">
        <v>89099827060</v>
      </c>
    </row>
    <row r="7" spans="1:122" x14ac:dyDescent="0.25">
      <c r="A7" s="4" t="s">
        <v>9</v>
      </c>
      <c r="B7" s="7"/>
      <c r="C7" s="21" t="s">
        <v>95</v>
      </c>
      <c r="D7" s="32"/>
      <c r="E7" s="3">
        <f>COUNT(Таблица1[Dancepride Trophy J 7 лет и мл. СОЛО  ])</f>
        <v>5</v>
      </c>
      <c r="F7" s="3">
        <f>COUNT(Таблица1[Dancepride Trophy Q 7 лет и мл. СОЛО  ])</f>
        <v>6</v>
      </c>
      <c r="G7" s="3">
        <f>COUNT(Таблица1[Dancepride Trophy W+CH+PL 7 лет и мл. СОЛО  ])</f>
        <v>9</v>
      </c>
      <c r="H7" s="3">
        <f>COUNT(Таблица1[Зачет на N 7 и мл. Соло W])</f>
        <v>7</v>
      </c>
      <c r="I7" s="3">
        <f>COUNT(Таблица1[Зачет на N 7 и мл. Соло Q])</f>
        <v>7</v>
      </c>
      <c r="J7" s="3">
        <f>COUNT(Таблица1[Зачет на N 7 и мл. Соло CH])</f>
        <v>7</v>
      </c>
      <c r="K7" s="3">
        <f>COUNT(Таблица1[Зачет на N 7 и мл. Соло J])</f>
        <v>7</v>
      </c>
      <c r="L7" s="3">
        <f>COUNT(Таблица1[Зачет ШБТ 7 и мл. ПАРЫ W])</f>
        <v>4</v>
      </c>
      <c r="M7" s="3">
        <f>COUNT(Таблица1[Зачет ШБТ 7 и мл. ПАРЫ CH])</f>
        <v>4</v>
      </c>
      <c r="N7" s="3">
        <f>COUNT(Таблица1[Зачет ШБТ 7 и мл. ПАРЫ PL])</f>
        <v>4</v>
      </c>
      <c r="O7" s="3">
        <f>COUNT(Таблица1[Зачет ШБТ 7 и мл. Соло W])</f>
        <v>35</v>
      </c>
      <c r="P7" s="3">
        <f>COUNT(Таблица1[Зачет ШБТ 7 и мл. Соло CH])</f>
        <v>35</v>
      </c>
      <c r="Q7" s="3">
        <f>COUNT(Таблица1[Зачет ШБТ 7 и мл. Соло PL])</f>
        <v>35</v>
      </c>
      <c r="R7" s="3">
        <f>COUNT(Таблица1[Классификация N 7 лет и мл. СОЛО  ])</f>
        <v>6</v>
      </c>
      <c r="S7" s="3">
        <f>COUNT(Таблица1[5 лет и мл.  Кубок Ча-Ча-Ча СОЛО])</f>
        <v>8</v>
      </c>
      <c r="T7" s="3">
        <f>COUNT(Таблица1[7 лет и мл.  Кубок Ча-Ча-Ча ПАРЫ])</f>
        <v>3</v>
      </c>
      <c r="U7" s="3">
        <f>COUNT(Таблица1[7 лет и мл.  Кубок Ча-Ча-Ча СОЛО])</f>
        <v>12</v>
      </c>
      <c r="V7" s="3">
        <f>COUNT(Таблица1[7 лет и мл.  Кубок Джайва СОЛО])</f>
        <v>5</v>
      </c>
      <c r="W7" s="3">
        <f>COUNT(Таблица1[5 лет и мл.  Кубок Польки СОЛО])</f>
        <v>12</v>
      </c>
      <c r="X7" s="3">
        <f>COUNT(Таблица1[7 лет и мл.  Кубок Польки ПАРЫ])</f>
        <v>3</v>
      </c>
      <c r="Y7" s="3">
        <f>COUNT(Таблица1[7 лет и мл.  Кубок Польки СОЛО])</f>
        <v>8</v>
      </c>
      <c r="Z7" s="3">
        <f>COUNT(Таблица1[7 лет и мл.  Кубок Квикстепа СОЛО])</f>
        <v>7</v>
      </c>
      <c r="AA7" s="3">
        <f>COUNT(Таблица1[5 лет и мл.  Кубок Вальса СОЛО])</f>
        <v>8</v>
      </c>
      <c r="AB7" s="3">
        <f>COUNT(Таблица1[7 лет и мл.  Кубок Вальса ПАРЫ])</f>
        <v>2</v>
      </c>
      <c r="AC7" s="3">
        <f>COUNT(Таблица1[7 лет и мл.  Кубок Вальса СОЛО])</f>
        <v>10</v>
      </c>
      <c r="AD7" s="3">
        <f>COUNT(Таблица1[Dancepride Trophy CH 9 лет и мл. СОЛО  ])</f>
        <v>8</v>
      </c>
      <c r="AE7" s="3">
        <f>COUNT(Таблица1[Dancepride Trophy CH+J 9 лет и мл. ПАРЫ  ])</f>
        <v>4</v>
      </c>
      <c r="AF7" s="3">
        <f>COUNT(Таблица1[Dancepride Trophy CH+J 9 лет и мл. СОЛО  ])</f>
        <v>9</v>
      </c>
      <c r="AG7" s="3">
        <f>COUNT(Таблица1[Dancepride Trophy HH 9 лет и мл. СОЛО  ])</f>
        <v>3</v>
      </c>
      <c r="AH7" s="3">
        <f>COUNT(Таблица1[Dancepride Trophy W 9 лет и мл. СОЛО  ])</f>
        <v>4</v>
      </c>
      <c r="AI7" s="3">
        <f>COUNT(Таблица1[Dancepride Trophy W+CH+PL 9 лет и мл. СОЛО  ])</f>
        <v>8</v>
      </c>
      <c r="AJ7" s="3">
        <f>COUNT(Таблица1[Dancepride Trophy W+Q 9 лет и мл. ПАРЫ  ])</f>
        <v>3</v>
      </c>
      <c r="AK7" s="3">
        <f>COUNT(Таблица1[Dancepride Trophy W+Q 9 лет и мл. СОЛО  ])</f>
        <v>6</v>
      </c>
      <c r="AL7" s="3">
        <f>COUNT(Таблица1[Зачет на E 9 и мл. Соло T])</f>
        <v>5</v>
      </c>
      <c r="AM7" s="3">
        <f>COUNT(Таблица1[Зачет на E 9 и мл. Соло R])</f>
        <v>5</v>
      </c>
      <c r="AN7" s="3">
        <f>COUNT(Таблица1[Зачет на N 9 и мл. ПАРЫ W])</f>
        <v>3</v>
      </c>
      <c r="AO7" s="3">
        <f>COUNT(Таблица1[Зачет на N 9 и мл. ПАРЫ Q])</f>
        <v>3</v>
      </c>
      <c r="AP7" s="3">
        <f>COUNT(Таблица1[Зачет на N 9 и мл. ПАРЫ CH])</f>
        <v>3</v>
      </c>
      <c r="AQ7" s="3">
        <f>COUNT(Таблица1[Зачет на N 9 и мл. ПАРЫ J])</f>
        <v>3</v>
      </c>
      <c r="AR7" s="3">
        <f>COUNT(Таблица1[Зачет на N 9 и мл. Соло W])</f>
        <v>7</v>
      </c>
      <c r="AS7" s="3">
        <f>COUNT(Таблица1[Зачет на N 9 и мл. Соло Q])</f>
        <v>7</v>
      </c>
      <c r="AT7" s="3">
        <f>COUNT(Таблица1[Зачет на N 9 и мл. Соло CH])</f>
        <v>7</v>
      </c>
      <c r="AU7" s="3">
        <f>COUNT(Таблица1[Зачет на N 9 и мл. Соло J])</f>
        <v>7</v>
      </c>
      <c r="AV7" s="3">
        <f>COUNT(Таблица1[Зачет ШБТ 9 и мл. ПАРЫ W])</f>
        <v>4</v>
      </c>
      <c r="AW7" s="3">
        <f>COUNT(Таблица1[Зачет ШБТ 9 и мл. ПАРЫ CH])</f>
        <v>4</v>
      </c>
      <c r="AX7" s="3">
        <f>COUNT(Таблица1[Зачет ШБТ 9 и мл. ПАРЫ PL])</f>
        <v>4</v>
      </c>
      <c r="AY7" s="3">
        <f>COUNT(Таблица1[Зачет ШБТ 9 и мл. Соло W])</f>
        <v>11</v>
      </c>
      <c r="AZ7" s="3">
        <f>COUNT(Таблица1[Зачет ШБТ 9 и мл. Соло CH])</f>
        <v>11</v>
      </c>
      <c r="BA7" s="3">
        <f>COUNT(Таблица1[Зачет ШБТ 9 и мл. Соло J])</f>
        <v>11</v>
      </c>
      <c r="BB7" s="3">
        <f>COUNT(Таблица1[Классификация E 9 лет и мл. ПАРЫ  ])</f>
        <v>3</v>
      </c>
      <c r="BC7" s="3">
        <f>COUNT(Таблица1[Классификация E 9 лет и мл. СОЛО  ])</f>
        <v>3</v>
      </c>
      <c r="BD7" s="3">
        <f>COUNT(Таблица1[Классификация N 9 лет и мл. ПАРЫ  ])</f>
        <v>1</v>
      </c>
      <c r="BE7" s="3">
        <f>COUNT(Таблица1[Классификация N 9 лет и мл. СОЛО  ])</f>
        <v>9</v>
      </c>
      <c r="BF7" s="3">
        <f>COUNT(Таблица1[9 лет и мл.  Кубок Ча-Ча-Ча ПАРЫ])</f>
        <v>7</v>
      </c>
      <c r="BG7" s="3">
        <f>COUNT(Таблица1[9 лет и мл.  Кубок Ча-Ча-Ча СОЛО])</f>
        <v>11</v>
      </c>
      <c r="BH7" s="3">
        <f>COUNT(Таблица1[9 лет и мл.  Кубок Джайва ПАРЫ])</f>
        <v>3</v>
      </c>
      <c r="BI7" s="3">
        <f>COUNT(Таблица1[9 лет и мл.  Кубок Джайва СОЛО])</f>
        <v>6</v>
      </c>
      <c r="BJ7" s="3">
        <f>COUNT(Таблица1[9 лет и мл.  Кубок Польки ПАРЫ])</f>
        <v>5</v>
      </c>
      <c r="BK7" s="3">
        <f>COUNT(Таблица1[9 лет и мл.  Кубок Польки СОЛО])</f>
        <v>7</v>
      </c>
      <c r="BL7" s="3">
        <f>COUNT(Таблица1[9 лет и мл.  Кубок Квикстепа ПАРЫ])</f>
        <v>2</v>
      </c>
      <c r="BM7" s="3">
        <f>COUNT(Таблица1[9 лет и мл.  Кубок Квикстепа СОЛО])</f>
        <v>3</v>
      </c>
      <c r="BN7" s="3">
        <f>COUNT(Таблица1[9 лет и мл.  Кубок Румбы СОЛО])</f>
        <v>8</v>
      </c>
      <c r="BO7" s="3">
        <f>COUNT(Таблица1[9 лет и мл.  Кубок Самбы СОЛО])</f>
        <v>7</v>
      </c>
      <c r="BP7" s="3">
        <f>COUNT(Таблица1[9 лет и мл.  Кубок Танго СОЛО])</f>
        <v>6</v>
      </c>
      <c r="BQ7" s="3">
        <f>COUNT(Таблица1[9 лет и мл.  Кубок Венского Вальса СОЛО])</f>
        <v>3</v>
      </c>
      <c r="BR7" s="3">
        <f>COUNT(Таблица1[9 лет и мл.  Кубок Вальса ПАРЫ])</f>
        <v>4</v>
      </c>
      <c r="BS7" s="3">
        <f>COUNT(Таблица1[9 лет и мл.  Кубок Вальса СОЛО])</f>
        <v>9</v>
      </c>
      <c r="BT7" s="3">
        <f>COUNT(Таблица1[Dancepride Trophy CH+J 11 лет и мл. ПАРЫ  ])</f>
        <v>3</v>
      </c>
      <c r="BU7" s="3">
        <f>COUNT(Таблица1[Dancepride Trophy CH+J 11 лет и мл. СОЛО  ])</f>
        <v>4</v>
      </c>
      <c r="BV7" s="3">
        <f>COUNT(Таблица1[Dancepride Trophy Cha 10 лет и ст. ПАРЫ  ])</f>
        <v>5</v>
      </c>
      <c r="BW7" s="3">
        <f>COUNT(Таблица1[Dancepride Trophy HH 10 и ст. СОЛО  ])</f>
        <v>1</v>
      </c>
      <c r="BX7" s="3">
        <f>COUNT(Таблица1[Dancepride Trophy J 10 лет и ст. ПАРЫ  ])</f>
        <v>5</v>
      </c>
      <c r="BY7" s="3">
        <f>COUNT(Таблица1[Dancepride Trophy Q 10 лет и ст. ПАРЫ  ])</f>
        <v>5</v>
      </c>
      <c r="BZ7" s="3">
        <f>COUNT(Таблица1[Dancepride Trophy R 10 лет и ст. ПАРЫ  ])</f>
        <v>6</v>
      </c>
      <c r="CA7" s="3">
        <f>COUNT(Таблица1[Dancepride Trophy T 10 лет и ст. ПАРЫ  ])</f>
        <v>4</v>
      </c>
      <c r="CB7" s="3">
        <f>COUNT(Таблица1[Dancepride Trophy W 10 лет и ст. ПАРЫ  ])</f>
        <v>6</v>
      </c>
      <c r="CC7" s="3">
        <f>COUNT(Таблица1[Dancepride Trophy W+Q 11 лет и мл. ПАРЫ  ])</f>
        <v>5</v>
      </c>
      <c r="CD7" s="3">
        <f>COUNT(Таблица1[Dancepride Trophy W+Q 11 лет и мл. СОЛО  ])</f>
        <v>7</v>
      </c>
      <c r="CE7" s="3">
        <f>COUNT(Таблица1[Solo LA CH+R+J 10 лет и ст.  ])</f>
        <v>6</v>
      </c>
      <c r="CF7" s="3">
        <f>COUNT(Таблица1[Зачет на N 10 и ст. ПАРЫ W])</f>
        <v>1</v>
      </c>
      <c r="CG7" s="3">
        <f>COUNT(Таблица1[Зачет на N 10 и ст. ПАРЫ Q])</f>
        <v>1</v>
      </c>
      <c r="CH7" s="3">
        <f>COUNT(Таблица1[Зачет на N 10 и ст. ПАРЫ CH])</f>
        <v>1</v>
      </c>
      <c r="CI7" s="3">
        <f>COUNT(Таблица1[Зачет на N 10 и ст. ПАРЫ J])</f>
        <v>1</v>
      </c>
      <c r="CJ7" s="3">
        <f>COUNT(Таблица1[Зачет на N 10 и ст. Соло W])</f>
        <v>5</v>
      </c>
      <c r="CK7" s="3">
        <f>COUNT(Таблица1[Зачет на N 10 и ст. Соло Q])</f>
        <v>5</v>
      </c>
      <c r="CL7" s="3">
        <f>COUNT(Таблица1[Зачет на N 10 и ст. Соло CH])</f>
        <v>5</v>
      </c>
      <c r="CM7" s="3">
        <f>COUNT(Таблица1[Зачет на N 10 и ст. Соло J])</f>
        <v>5</v>
      </c>
      <c r="CN7" s="3">
        <f>COUNT(Таблица1[Зачет ШБТ 10 и ст. Соло W])</f>
        <v>6</v>
      </c>
      <c r="CO7" s="3">
        <f>COUNT(Таблица1[Зачет ШБТ 10 и ст. Соло CH])</f>
        <v>6</v>
      </c>
      <c r="CP7" s="3">
        <f>COUNT(Таблица1[Зачет ШБТ 10 и ст. Соло PL])</f>
        <v>6</v>
      </c>
      <c r="CQ7" s="3">
        <f>COUNT(Таблица1[Классификация E 11 лет и мл. ПАРЫ  ])</f>
        <v>5</v>
      </c>
      <c r="CR7" s="3">
        <f>COUNT(Таблица1[Классификация E 11 лет и мл. СОЛО  ])</f>
        <v>4</v>
      </c>
      <c r="CS7" s="3">
        <f>COUNT(Таблица1[Классификация E 12 лет и ст. ПАРЫ  ])</f>
        <v>4</v>
      </c>
      <c r="CT7" s="3">
        <f>COUNT(Таблица1[Классификация E 12 лет и ст. СОЛО  ])</f>
        <v>5</v>
      </c>
      <c r="CU7" s="3">
        <f>COUNT(Таблица1[Классификация N 11 лет и мл. ПАРЫ  ])</f>
        <v>2</v>
      </c>
      <c r="CV7" s="3">
        <f>COUNT(Таблица1[Классификация N 11 лет и мл. СОЛО  ])</f>
        <v>6</v>
      </c>
      <c r="CW7" s="3">
        <f>COUNT(Таблица1[Классификация N 12 лет и ст. ПАРЫ  ])</f>
        <v>4</v>
      </c>
      <c r="CX7" s="3">
        <f>COUNT(Таблица1[Классификация N 12 лет и ст. СОЛО  ])</f>
        <v>4</v>
      </c>
      <c r="CY7" s="3">
        <f>COUNT(Таблица1[10 лет и ст.  Кубок Ча-Ча-Ча ПАРЫ])</f>
        <v>1</v>
      </c>
      <c r="CZ7" s="3">
        <f>COUNT(Таблица1[10 лет и ст.  Кубок Ча-Ча-Ча СОЛО])</f>
        <v>9</v>
      </c>
      <c r="DA7" s="3">
        <f>COUNT(Таблица1[10 лет и ст.  Кубок Фокстрота ПАРЫ])</f>
        <v>3</v>
      </c>
      <c r="DB7" s="3">
        <f>COUNT(Таблица1[10 лет и ст.  Кубок Фокстрота СОЛО])</f>
        <v>5</v>
      </c>
      <c r="DC7" s="3">
        <f>COUNT(Таблица1[10 лет и ст.  Кубок Джайва СОЛО])</f>
        <v>2</v>
      </c>
      <c r="DD7" s="3">
        <f>COUNT(Таблица1[10 лет и ст.  Кубок Пасодобля ПАРЫ])</f>
        <v>2</v>
      </c>
      <c r="DE7" s="3">
        <f>COUNT(Таблица1[10 лет и ст.  Кубок Пасодобля СОЛО])</f>
        <v>2</v>
      </c>
      <c r="DF7" s="3">
        <f>COUNT(Таблица1[10 лет и ст.  Кубок Квикстепа СОЛО])</f>
        <v>1</v>
      </c>
      <c r="DG7" s="3">
        <f>COUNT(Таблица1[10 лет и ст.  Кубок Румбы ПАРЫ])</f>
        <v>1</v>
      </c>
      <c r="DH7" s="3">
        <f>COUNT(Таблица1[10 лет и ст.  Кубок Румбы СОЛО])</f>
        <v>5</v>
      </c>
      <c r="DI7" s="3">
        <f>COUNT(Таблица1[10 лет и ст.  Кубок Самбы ПАРЫ])</f>
        <v>2</v>
      </c>
      <c r="DJ7" s="3">
        <f>COUNT(Таблица1[10 лет и ст.  Кубок Самбы СОЛО])</f>
        <v>6</v>
      </c>
      <c r="DK7" s="3">
        <f>COUNT(Таблица1[10 лет и ст.  Кубок Танго СОЛО])</f>
        <v>3</v>
      </c>
      <c r="DL7" s="3">
        <f>COUNT(Таблица1[10 лет и ст.  Кубок Венского Вальса ПАРЫ])</f>
        <v>1</v>
      </c>
      <c r="DM7" s="3">
        <f>COUNT(Таблица1[10 лет и ст.  Кубок Венского Вальса СОЛО])</f>
        <v>3</v>
      </c>
      <c r="DN7" s="3">
        <f>COUNT(Таблица1[10 лет и ст.  Кубок Вальса ПАРЫ])</f>
        <v>1</v>
      </c>
      <c r="DO7" s="3">
        <f>COUNT(Таблица1[10 лет и ст.  Кубок Вальса СОЛО])</f>
        <v>8</v>
      </c>
    </row>
    <row r="8" spans="1:122" ht="217.5" customHeight="1" x14ac:dyDescent="0.25">
      <c r="A8" s="16" t="s">
        <v>0</v>
      </c>
      <c r="B8" s="17" t="s">
        <v>1</v>
      </c>
      <c r="C8" s="17" t="s">
        <v>2</v>
      </c>
      <c r="D8" s="17" t="s">
        <v>3</v>
      </c>
      <c r="E8" s="18" t="s">
        <v>16</v>
      </c>
      <c r="F8" s="18" t="s">
        <v>112</v>
      </c>
      <c r="G8" s="18" t="s">
        <v>113</v>
      </c>
      <c r="H8" s="18" t="s">
        <v>117</v>
      </c>
      <c r="I8" s="18" t="s">
        <v>118</v>
      </c>
      <c r="J8" s="18" t="s">
        <v>119</v>
      </c>
      <c r="K8" s="18" t="s">
        <v>120</v>
      </c>
      <c r="L8" s="18" t="s">
        <v>121</v>
      </c>
      <c r="M8" s="18" t="s">
        <v>122</v>
      </c>
      <c r="N8" s="18" t="s">
        <v>123</v>
      </c>
      <c r="O8" s="30" t="s">
        <v>124</v>
      </c>
      <c r="P8" s="30" t="s">
        <v>125</v>
      </c>
      <c r="Q8" s="30" t="s">
        <v>126</v>
      </c>
      <c r="R8" s="33" t="s">
        <v>50</v>
      </c>
      <c r="S8" s="33" t="s">
        <v>60</v>
      </c>
      <c r="T8" s="33" t="s">
        <v>64</v>
      </c>
      <c r="U8" s="33" t="s">
        <v>61</v>
      </c>
      <c r="V8" s="34" t="s">
        <v>67</v>
      </c>
      <c r="W8" s="33" t="s">
        <v>72</v>
      </c>
      <c r="X8" s="33" t="s">
        <v>76</v>
      </c>
      <c r="Y8" s="33" t="s">
        <v>74</v>
      </c>
      <c r="Z8" s="33" t="s">
        <v>140</v>
      </c>
      <c r="AA8" s="34" t="s">
        <v>85</v>
      </c>
      <c r="AB8" s="34" t="s">
        <v>143</v>
      </c>
      <c r="AC8" s="34" t="s">
        <v>87</v>
      </c>
      <c r="AD8" s="30" t="s">
        <v>144</v>
      </c>
      <c r="AE8" s="30" t="s">
        <v>145</v>
      </c>
      <c r="AF8" s="30" t="s">
        <v>147</v>
      </c>
      <c r="AG8" s="30" t="s">
        <v>148</v>
      </c>
      <c r="AH8" s="30" t="s">
        <v>149</v>
      </c>
      <c r="AI8" s="30" t="s">
        <v>151</v>
      </c>
      <c r="AJ8" s="30" t="s">
        <v>152</v>
      </c>
      <c r="AK8" s="30" t="s">
        <v>153</v>
      </c>
      <c r="AL8" s="30" t="s">
        <v>156</v>
      </c>
      <c r="AM8" s="30" t="s">
        <v>157</v>
      </c>
      <c r="AN8" s="30" t="s">
        <v>158</v>
      </c>
      <c r="AO8" s="30" t="s">
        <v>159</v>
      </c>
      <c r="AP8" s="30" t="s">
        <v>160</v>
      </c>
      <c r="AQ8" s="30" t="s">
        <v>161</v>
      </c>
      <c r="AR8" s="30" t="s">
        <v>163</v>
      </c>
      <c r="AS8" s="30" t="s">
        <v>164</v>
      </c>
      <c r="AT8" s="30" t="s">
        <v>165</v>
      </c>
      <c r="AU8" s="30" t="s">
        <v>166</v>
      </c>
      <c r="AV8" s="30" t="s">
        <v>167</v>
      </c>
      <c r="AW8" s="30" t="s">
        <v>168</v>
      </c>
      <c r="AX8" s="30" t="s">
        <v>169</v>
      </c>
      <c r="AY8" s="30" t="s">
        <v>171</v>
      </c>
      <c r="AZ8" s="30" t="s">
        <v>172</v>
      </c>
      <c r="BA8" s="30" t="s">
        <v>173</v>
      </c>
      <c r="BB8" s="34" t="s">
        <v>43</v>
      </c>
      <c r="BC8" s="34" t="s">
        <v>44</v>
      </c>
      <c r="BD8" s="30" t="s">
        <v>51</v>
      </c>
      <c r="BE8" s="34" t="s">
        <v>52</v>
      </c>
      <c r="BF8" s="34" t="s">
        <v>59</v>
      </c>
      <c r="BG8" s="34" t="s">
        <v>63</v>
      </c>
      <c r="BH8" s="34" t="s">
        <v>178</v>
      </c>
      <c r="BI8" s="34" t="s">
        <v>68</v>
      </c>
      <c r="BJ8" s="34" t="s">
        <v>71</v>
      </c>
      <c r="BK8" s="34" t="s">
        <v>75</v>
      </c>
      <c r="BL8" s="34" t="s">
        <v>180</v>
      </c>
      <c r="BM8" s="34" t="s">
        <v>141</v>
      </c>
      <c r="BN8" s="34" t="s">
        <v>77</v>
      </c>
      <c r="BO8" s="34" t="s">
        <v>80</v>
      </c>
      <c r="BP8" s="34" t="s">
        <v>82</v>
      </c>
      <c r="BQ8" s="34" t="s">
        <v>181</v>
      </c>
      <c r="BR8" s="34" t="s">
        <v>84</v>
      </c>
      <c r="BS8" s="34" t="s">
        <v>89</v>
      </c>
      <c r="BT8" s="30" t="s">
        <v>182</v>
      </c>
      <c r="BU8" s="30" t="s">
        <v>183</v>
      </c>
      <c r="BV8" s="30" t="s">
        <v>185</v>
      </c>
      <c r="BW8" s="31" t="s">
        <v>186</v>
      </c>
      <c r="BX8" s="41" t="s">
        <v>17</v>
      </c>
      <c r="BY8" s="41" t="s">
        <v>21</v>
      </c>
      <c r="BZ8" s="41" t="s">
        <v>187</v>
      </c>
      <c r="CA8" s="41" t="s">
        <v>188</v>
      </c>
      <c r="CB8" s="43" t="s">
        <v>22</v>
      </c>
      <c r="CC8" s="30" t="s">
        <v>189</v>
      </c>
      <c r="CD8" s="30" t="s">
        <v>190</v>
      </c>
      <c r="CE8" s="34" t="s">
        <v>191</v>
      </c>
      <c r="CF8" s="30" t="s">
        <v>192</v>
      </c>
      <c r="CG8" s="30" t="s">
        <v>193</v>
      </c>
      <c r="CH8" s="30" t="s">
        <v>194</v>
      </c>
      <c r="CI8" s="30" t="s">
        <v>195</v>
      </c>
      <c r="CJ8" s="30" t="s">
        <v>196</v>
      </c>
      <c r="CK8" s="30" t="s">
        <v>197</v>
      </c>
      <c r="CL8" s="30" t="s">
        <v>198</v>
      </c>
      <c r="CM8" s="30" t="s">
        <v>199</v>
      </c>
      <c r="CN8" s="30" t="s">
        <v>200</v>
      </c>
      <c r="CO8" s="30" t="s">
        <v>201</v>
      </c>
      <c r="CP8" s="30" t="s">
        <v>202</v>
      </c>
      <c r="CQ8" s="34" t="s">
        <v>45</v>
      </c>
      <c r="CR8" s="34" t="s">
        <v>47</v>
      </c>
      <c r="CS8" s="34" t="s">
        <v>48</v>
      </c>
      <c r="CT8" s="34" t="s">
        <v>49</v>
      </c>
      <c r="CU8" s="34" t="s">
        <v>54</v>
      </c>
      <c r="CV8" s="34" t="s">
        <v>55</v>
      </c>
      <c r="CW8" s="34" t="s">
        <v>56</v>
      </c>
      <c r="CX8" s="34" t="s">
        <v>58</v>
      </c>
      <c r="CY8" s="30" t="s">
        <v>65</v>
      </c>
      <c r="CZ8" s="34" t="s">
        <v>66</v>
      </c>
      <c r="DA8" s="34" t="s">
        <v>206</v>
      </c>
      <c r="DB8" s="34" t="s">
        <v>207</v>
      </c>
      <c r="DC8" s="34" t="s">
        <v>70</v>
      </c>
      <c r="DD8" s="34" t="s">
        <v>208</v>
      </c>
      <c r="DE8" s="34" t="s">
        <v>209</v>
      </c>
      <c r="DF8" s="30" t="s">
        <v>210</v>
      </c>
      <c r="DG8" s="30" t="s">
        <v>78</v>
      </c>
      <c r="DH8" s="34" t="s">
        <v>79</v>
      </c>
      <c r="DI8" s="34" t="s">
        <v>211</v>
      </c>
      <c r="DJ8" s="34" t="s">
        <v>81</v>
      </c>
      <c r="DK8" s="34" t="s">
        <v>83</v>
      </c>
      <c r="DL8" s="30" t="s">
        <v>212</v>
      </c>
      <c r="DM8" s="34" t="s">
        <v>213</v>
      </c>
      <c r="DN8" s="30" t="s">
        <v>214</v>
      </c>
      <c r="DO8" s="34" t="s">
        <v>91</v>
      </c>
      <c r="DP8" s="53" t="s">
        <v>108</v>
      </c>
      <c r="DQ8" s="30" t="s">
        <v>246</v>
      </c>
      <c r="DR8" s="30" t="s">
        <v>247</v>
      </c>
    </row>
    <row r="9" spans="1:122" ht="15.75" customHeight="1" x14ac:dyDescent="0.25">
      <c r="A9" s="35">
        <v>105</v>
      </c>
      <c r="B9" s="36" t="s">
        <v>311</v>
      </c>
      <c r="C9" s="36" t="s">
        <v>28</v>
      </c>
      <c r="D9" s="36" t="s">
        <v>11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49"/>
      <c r="DJ9" s="50"/>
      <c r="DK9" s="50"/>
      <c r="DL9" s="50"/>
      <c r="DM9" s="50"/>
      <c r="DN9" s="50"/>
      <c r="DO9" s="50">
        <v>1</v>
      </c>
      <c r="DP9" s="60">
        <v>6</v>
      </c>
      <c r="DQ9" s="52">
        <v>1</v>
      </c>
      <c r="DR9" s="52">
        <f>PRODUCT(Таблица1[[#This Row],[Столбец4]:[РЕГ НТЛ]])</f>
        <v>6</v>
      </c>
    </row>
    <row r="10" spans="1:122" ht="15.75" customHeight="1" x14ac:dyDescent="0.25">
      <c r="A10" s="35">
        <v>89</v>
      </c>
      <c r="B10" s="36" t="s">
        <v>285</v>
      </c>
      <c r="C10" s="36" t="s">
        <v>32</v>
      </c>
      <c r="D10" s="36" t="s">
        <v>146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49"/>
      <c r="DJ10" s="49"/>
      <c r="DK10" s="49"/>
      <c r="DL10" s="49"/>
      <c r="DM10" s="49"/>
      <c r="DN10" s="49"/>
      <c r="DO10" s="49">
        <v>2</v>
      </c>
      <c r="DP10" s="55">
        <v>4</v>
      </c>
      <c r="DQ10" s="52">
        <v>0</v>
      </c>
      <c r="DR10" s="37">
        <f>PRODUCT(Таблица1[[#This Row],[Столбец4]:[РЕГ НТЛ]])</f>
        <v>0</v>
      </c>
    </row>
    <row r="11" spans="1:122" x14ac:dyDescent="0.25">
      <c r="A11" s="35">
        <v>95</v>
      </c>
      <c r="B11" s="36" t="s">
        <v>278</v>
      </c>
      <c r="C11" s="36" t="s">
        <v>28</v>
      </c>
      <c r="D11" s="36" t="s">
        <v>11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49"/>
      <c r="DJ11" s="49"/>
      <c r="DK11" s="49"/>
      <c r="DL11" s="49"/>
      <c r="DM11" s="49"/>
      <c r="DN11" s="49"/>
      <c r="DO11" s="49">
        <v>3</v>
      </c>
      <c r="DP11" s="55">
        <v>4</v>
      </c>
      <c r="DQ11" s="52">
        <v>1</v>
      </c>
      <c r="DR11" s="37">
        <f>PRODUCT(Таблица1[[#This Row],[Столбец4]:[РЕГ НТЛ]])</f>
        <v>4</v>
      </c>
    </row>
    <row r="12" spans="1:122" x14ac:dyDescent="0.25">
      <c r="A12" s="35">
        <v>94</v>
      </c>
      <c r="B12" s="36" t="s">
        <v>268</v>
      </c>
      <c r="C12" s="36" t="s">
        <v>28</v>
      </c>
      <c r="D12" s="36" t="s">
        <v>11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49"/>
      <c r="DJ12" s="49"/>
      <c r="DK12" s="49"/>
      <c r="DL12" s="49"/>
      <c r="DM12" s="49"/>
      <c r="DN12" s="49"/>
      <c r="DO12" s="49">
        <v>4</v>
      </c>
      <c r="DP12" s="55">
        <v>2</v>
      </c>
      <c r="DQ12" s="52">
        <v>1</v>
      </c>
      <c r="DR12" s="37">
        <f>PRODUCT(Таблица1[[#This Row],[Столбец4]:[РЕГ НТЛ]])</f>
        <v>2</v>
      </c>
    </row>
    <row r="13" spans="1:122" x14ac:dyDescent="0.25">
      <c r="A13" s="35">
        <v>88</v>
      </c>
      <c r="B13" s="36" t="s">
        <v>330</v>
      </c>
      <c r="C13" s="36" t="s">
        <v>28</v>
      </c>
      <c r="D13" s="36" t="s">
        <v>11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49"/>
      <c r="DJ13" s="49"/>
      <c r="DK13" s="49"/>
      <c r="DL13" s="49"/>
      <c r="DM13" s="49"/>
      <c r="DN13" s="49"/>
      <c r="DO13" s="49">
        <v>5</v>
      </c>
      <c r="DP13" s="55">
        <v>2</v>
      </c>
      <c r="DQ13" s="52">
        <v>1</v>
      </c>
      <c r="DR13" s="37">
        <f>PRODUCT(Таблица1[[#This Row],[Столбец4]:[РЕГ НТЛ]])</f>
        <v>2</v>
      </c>
    </row>
    <row r="14" spans="1:122" x14ac:dyDescent="0.25">
      <c r="A14" s="35">
        <v>91</v>
      </c>
      <c r="B14" s="36" t="s">
        <v>328</v>
      </c>
      <c r="C14" s="36" t="s">
        <v>32</v>
      </c>
      <c r="D14" s="36" t="s">
        <v>146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49"/>
      <c r="DJ14" s="49"/>
      <c r="DK14" s="49"/>
      <c r="DL14" s="49"/>
      <c r="DM14" s="49"/>
      <c r="DN14" s="49"/>
      <c r="DO14" s="49">
        <v>6</v>
      </c>
      <c r="DP14" s="55">
        <v>2</v>
      </c>
      <c r="DQ14" s="52">
        <v>0</v>
      </c>
      <c r="DR14" s="37">
        <f>PRODUCT(Таблица1[[#This Row],[Столбец4]:[РЕГ НТЛ]])</f>
        <v>0</v>
      </c>
    </row>
    <row r="15" spans="1:122" x14ac:dyDescent="0.25">
      <c r="A15" s="35">
        <v>107</v>
      </c>
      <c r="B15" s="36" t="s">
        <v>356</v>
      </c>
      <c r="C15" s="36" t="s">
        <v>28</v>
      </c>
      <c r="D15" s="36" t="s">
        <v>11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49"/>
      <c r="DJ15" s="49"/>
      <c r="DK15" s="49"/>
      <c r="DL15" s="49"/>
      <c r="DM15" s="49"/>
      <c r="DN15" s="49"/>
      <c r="DO15" s="49">
        <v>7</v>
      </c>
      <c r="DP15" s="55">
        <v>0</v>
      </c>
      <c r="DQ15" s="52">
        <v>1</v>
      </c>
      <c r="DR15" s="37">
        <f>PRODUCT(Таблица1[[#This Row],[Столбец4]:[РЕГ НТЛ]])</f>
        <v>0</v>
      </c>
    </row>
    <row r="16" spans="1:122" x14ac:dyDescent="0.25">
      <c r="A16" s="35">
        <v>98</v>
      </c>
      <c r="B16" s="36" t="s">
        <v>322</v>
      </c>
      <c r="C16" s="36" t="s">
        <v>28</v>
      </c>
      <c r="D16" s="36" t="s">
        <v>11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49"/>
      <c r="DJ16" s="49"/>
      <c r="DK16" s="49"/>
      <c r="DL16" s="49"/>
      <c r="DM16" s="49"/>
      <c r="DN16" s="49"/>
      <c r="DO16" s="49">
        <v>8</v>
      </c>
      <c r="DP16" s="55">
        <v>0</v>
      </c>
      <c r="DQ16" s="52">
        <v>1</v>
      </c>
      <c r="DR16" s="37">
        <f>PRODUCT(Таблица1[[#This Row],[Столбец4]:[РЕГ НТЛ]])</f>
        <v>0</v>
      </c>
    </row>
    <row r="17" spans="1:122" x14ac:dyDescent="0.25">
      <c r="A17" s="35">
        <v>115</v>
      </c>
      <c r="B17" s="36" t="s">
        <v>296</v>
      </c>
      <c r="C17" s="36" t="s">
        <v>28</v>
      </c>
      <c r="D17" s="36" t="s">
        <v>11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49"/>
      <c r="DJ17" s="49"/>
      <c r="DK17" s="49"/>
      <c r="DL17" s="49"/>
      <c r="DM17" s="49">
        <v>1</v>
      </c>
      <c r="DN17" s="49"/>
      <c r="DO17" s="49"/>
      <c r="DP17" s="55">
        <v>6</v>
      </c>
      <c r="DQ17" s="37">
        <v>1</v>
      </c>
      <c r="DR17" s="37">
        <f>PRODUCT(Таблица1[[#This Row],[Столбец4]:[РЕГ НТЛ]])</f>
        <v>6</v>
      </c>
    </row>
    <row r="18" spans="1:122" x14ac:dyDescent="0.25">
      <c r="A18" s="35">
        <v>118</v>
      </c>
      <c r="B18" s="36" t="s">
        <v>342</v>
      </c>
      <c r="C18" s="36" t="s">
        <v>28</v>
      </c>
      <c r="D18" s="36" t="s">
        <v>11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49"/>
      <c r="DJ18" s="49"/>
      <c r="DK18" s="49"/>
      <c r="DL18" s="49"/>
      <c r="DM18" s="49">
        <v>2</v>
      </c>
      <c r="DN18" s="49"/>
      <c r="DO18" s="49"/>
      <c r="DP18" s="55">
        <v>4</v>
      </c>
      <c r="DQ18" s="37">
        <v>1</v>
      </c>
      <c r="DR18" s="37">
        <f>PRODUCT(Таблица1[[#This Row],[Столбец4]:[РЕГ НТЛ]])</f>
        <v>4</v>
      </c>
    </row>
    <row r="19" spans="1:122" x14ac:dyDescent="0.25">
      <c r="A19" s="35">
        <v>109</v>
      </c>
      <c r="B19" s="36" t="s">
        <v>260</v>
      </c>
      <c r="C19" s="2" t="s">
        <v>30</v>
      </c>
      <c r="D19" s="36" t="s">
        <v>12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49"/>
      <c r="DJ19" s="49"/>
      <c r="DK19" s="49"/>
      <c r="DL19" s="49"/>
      <c r="DM19" s="49">
        <v>3</v>
      </c>
      <c r="DN19" s="49"/>
      <c r="DO19" s="49"/>
      <c r="DP19" s="55">
        <v>4</v>
      </c>
      <c r="DQ19" s="37">
        <v>1</v>
      </c>
      <c r="DR19" s="37">
        <f>PRODUCT(Таблица1[[#This Row],[Столбец4]:[РЕГ НТЛ]])</f>
        <v>4</v>
      </c>
    </row>
    <row r="20" spans="1:122" x14ac:dyDescent="0.25">
      <c r="A20" s="35">
        <v>100</v>
      </c>
      <c r="B20" s="36" t="s">
        <v>321</v>
      </c>
      <c r="C20" s="36" t="s">
        <v>28</v>
      </c>
      <c r="D20" s="36" t="s">
        <v>11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49"/>
      <c r="DJ20" s="49"/>
      <c r="DK20" s="49">
        <v>1</v>
      </c>
      <c r="DL20" s="49"/>
      <c r="DM20" s="49"/>
      <c r="DN20" s="49"/>
      <c r="DO20" s="49"/>
      <c r="DP20" s="55">
        <v>6</v>
      </c>
      <c r="DQ20" s="37">
        <v>1</v>
      </c>
      <c r="DR20" s="37">
        <f>PRODUCT(Таблица1[[#This Row],[Столбец4]:[РЕГ НТЛ]])</f>
        <v>6</v>
      </c>
    </row>
    <row r="21" spans="1:122" x14ac:dyDescent="0.25">
      <c r="A21" s="35">
        <v>104</v>
      </c>
      <c r="B21" s="36" t="s">
        <v>258</v>
      </c>
      <c r="C21" s="36" t="s">
        <v>28</v>
      </c>
      <c r="D21" s="36" t="s">
        <v>11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49"/>
      <c r="DJ21" s="49"/>
      <c r="DK21" s="49">
        <v>2</v>
      </c>
      <c r="DL21" s="49"/>
      <c r="DM21" s="49"/>
      <c r="DN21" s="49"/>
      <c r="DO21" s="49"/>
      <c r="DP21" s="55">
        <v>4</v>
      </c>
      <c r="DQ21" s="37">
        <v>1</v>
      </c>
      <c r="DR21" s="37">
        <f>PRODUCT(Таблица1[[#This Row],[Столбец4]:[РЕГ НТЛ]])</f>
        <v>4</v>
      </c>
    </row>
    <row r="22" spans="1:122" x14ac:dyDescent="0.25">
      <c r="A22" s="35">
        <v>106</v>
      </c>
      <c r="B22" s="36" t="s">
        <v>288</v>
      </c>
      <c r="C22" s="36" t="s">
        <v>28</v>
      </c>
      <c r="D22" s="36" t="s">
        <v>11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49"/>
      <c r="DJ22" s="49"/>
      <c r="DK22" s="49">
        <v>3</v>
      </c>
      <c r="DL22" s="49"/>
      <c r="DM22" s="49"/>
      <c r="DN22" s="49"/>
      <c r="DO22" s="49"/>
      <c r="DP22" s="55">
        <v>4</v>
      </c>
      <c r="DQ22" s="37">
        <v>1</v>
      </c>
      <c r="DR22" s="37">
        <f>PRODUCT(Таблица1[[#This Row],[Столбец4]:[РЕГ НТЛ]])</f>
        <v>4</v>
      </c>
    </row>
    <row r="23" spans="1:122" x14ac:dyDescent="0.25">
      <c r="A23" s="35">
        <v>282</v>
      </c>
      <c r="B23" s="36" t="s">
        <v>334</v>
      </c>
      <c r="C23" s="36" t="s">
        <v>28</v>
      </c>
      <c r="D23" s="36" t="s">
        <v>11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49"/>
      <c r="DJ23" s="49">
        <v>1</v>
      </c>
      <c r="DK23" s="49"/>
      <c r="DL23" s="49"/>
      <c r="DM23" s="49"/>
      <c r="DN23" s="49"/>
      <c r="DO23" s="49"/>
      <c r="DP23" s="55">
        <v>6</v>
      </c>
      <c r="DQ23" s="37">
        <v>1</v>
      </c>
      <c r="DR23" s="37">
        <f>PRODUCT(Таблица1[[#This Row],[Столбец4]:[РЕГ НТЛ]])</f>
        <v>6</v>
      </c>
    </row>
    <row r="24" spans="1:122" x14ac:dyDescent="0.25">
      <c r="A24" s="35">
        <v>115</v>
      </c>
      <c r="B24" s="36" t="s">
        <v>296</v>
      </c>
      <c r="C24" s="36" t="s">
        <v>28</v>
      </c>
      <c r="D24" s="36" t="s">
        <v>11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49"/>
      <c r="DJ24" s="49">
        <v>2</v>
      </c>
      <c r="DK24" s="49"/>
      <c r="DL24" s="49"/>
      <c r="DM24" s="49"/>
      <c r="DN24" s="49"/>
      <c r="DO24" s="49"/>
      <c r="DP24" s="55">
        <v>4</v>
      </c>
      <c r="DQ24" s="37">
        <v>1</v>
      </c>
      <c r="DR24" s="37">
        <f>PRODUCT(Таблица1[[#This Row],[Столбец4]:[РЕГ НТЛ]])</f>
        <v>4</v>
      </c>
    </row>
    <row r="25" spans="1:122" x14ac:dyDescent="0.25">
      <c r="A25" s="35">
        <v>119</v>
      </c>
      <c r="B25" s="36" t="s">
        <v>314</v>
      </c>
      <c r="C25" s="36" t="s">
        <v>32</v>
      </c>
      <c r="D25" s="36" t="s">
        <v>146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49"/>
      <c r="DJ25" s="49">
        <v>3</v>
      </c>
      <c r="DK25" s="49"/>
      <c r="DL25" s="49"/>
      <c r="DM25" s="49"/>
      <c r="DN25" s="49"/>
      <c r="DO25" s="49"/>
      <c r="DP25" s="55">
        <v>4</v>
      </c>
      <c r="DQ25" s="37">
        <v>0</v>
      </c>
      <c r="DR25" s="37">
        <f>PRODUCT(Таблица1[[#This Row],[Столбец4]:[РЕГ НТЛ]])</f>
        <v>0</v>
      </c>
    </row>
    <row r="26" spans="1:122" x14ac:dyDescent="0.25">
      <c r="A26" s="35">
        <v>118</v>
      </c>
      <c r="B26" s="36" t="s">
        <v>342</v>
      </c>
      <c r="C26" s="36" t="s">
        <v>28</v>
      </c>
      <c r="D26" s="36" t="s">
        <v>11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49"/>
      <c r="DJ26" s="49">
        <v>4</v>
      </c>
      <c r="DK26" s="49"/>
      <c r="DL26" s="49"/>
      <c r="DM26" s="49"/>
      <c r="DN26" s="49"/>
      <c r="DO26" s="49"/>
      <c r="DP26" s="55">
        <v>2</v>
      </c>
      <c r="DQ26" s="37">
        <v>1</v>
      </c>
      <c r="DR26" s="37">
        <f>PRODUCT(Таблица1[[#This Row],[Столбец4]:[РЕГ НТЛ]])</f>
        <v>2</v>
      </c>
    </row>
    <row r="27" spans="1:122" x14ac:dyDescent="0.25">
      <c r="A27" s="35">
        <v>117</v>
      </c>
      <c r="B27" s="36" t="s">
        <v>294</v>
      </c>
      <c r="C27" s="36" t="s">
        <v>23</v>
      </c>
      <c r="D27" s="36" t="s">
        <v>53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49"/>
      <c r="DJ27" s="49">
        <v>5</v>
      </c>
      <c r="DK27" s="49"/>
      <c r="DL27" s="49"/>
      <c r="DM27" s="49"/>
      <c r="DN27" s="49"/>
      <c r="DO27" s="49"/>
      <c r="DP27" s="55">
        <v>2</v>
      </c>
      <c r="DQ27" s="37">
        <v>1</v>
      </c>
      <c r="DR27" s="37">
        <f>PRODUCT(Таблица1[[#This Row],[Столбец4]:[РЕГ НТЛ]])</f>
        <v>2</v>
      </c>
    </row>
    <row r="28" spans="1:122" x14ac:dyDescent="0.25">
      <c r="A28" s="35">
        <v>285</v>
      </c>
      <c r="B28" s="36" t="s">
        <v>305</v>
      </c>
      <c r="C28" s="36" t="s">
        <v>249</v>
      </c>
      <c r="D28" s="36" t="s">
        <v>184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49"/>
      <c r="DJ28" s="49">
        <v>6</v>
      </c>
      <c r="DK28" s="49"/>
      <c r="DL28" s="49"/>
      <c r="DM28" s="49"/>
      <c r="DN28" s="49"/>
      <c r="DO28" s="49"/>
      <c r="DP28" s="55">
        <v>2</v>
      </c>
      <c r="DQ28" s="37">
        <v>0</v>
      </c>
      <c r="DR28" s="37">
        <f>PRODUCT(Таблица1[[#This Row],[Столбец4]:[РЕГ НТЛ]])</f>
        <v>0</v>
      </c>
    </row>
    <row r="29" spans="1:122" x14ac:dyDescent="0.25">
      <c r="A29" s="35">
        <v>106</v>
      </c>
      <c r="B29" s="36" t="s">
        <v>288</v>
      </c>
      <c r="C29" s="36" t="s">
        <v>28</v>
      </c>
      <c r="D29" s="36" t="s">
        <v>11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>
        <v>1</v>
      </c>
      <c r="DI29" s="49"/>
      <c r="DJ29" s="49"/>
      <c r="DK29" s="49"/>
      <c r="DL29" s="49"/>
      <c r="DM29" s="49"/>
      <c r="DN29" s="49"/>
      <c r="DO29" s="49"/>
      <c r="DP29" s="55">
        <v>6</v>
      </c>
      <c r="DQ29" s="37">
        <v>1</v>
      </c>
      <c r="DR29" s="37">
        <f>PRODUCT(Таблица1[[#This Row],[Столбец4]:[РЕГ НТЛ]])</f>
        <v>6</v>
      </c>
    </row>
    <row r="30" spans="1:122" x14ac:dyDescent="0.25">
      <c r="A30" s="35">
        <v>103</v>
      </c>
      <c r="B30" s="36" t="s">
        <v>346</v>
      </c>
      <c r="C30" s="36" t="s">
        <v>28</v>
      </c>
      <c r="D30" s="36" t="s">
        <v>11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>
        <v>2</v>
      </c>
      <c r="DI30" s="49"/>
      <c r="DJ30" s="49"/>
      <c r="DK30" s="49"/>
      <c r="DL30" s="49"/>
      <c r="DM30" s="49"/>
      <c r="DN30" s="49"/>
      <c r="DO30" s="49"/>
      <c r="DP30" s="55">
        <v>4</v>
      </c>
      <c r="DQ30" s="37">
        <v>1</v>
      </c>
      <c r="DR30" s="37">
        <f>PRODUCT(Таблица1[[#This Row],[Столбец4]:[РЕГ НТЛ]])</f>
        <v>4</v>
      </c>
    </row>
    <row r="31" spans="1:122" x14ac:dyDescent="0.25">
      <c r="A31" s="35">
        <v>104</v>
      </c>
      <c r="B31" s="36" t="s">
        <v>258</v>
      </c>
      <c r="C31" s="36" t="s">
        <v>28</v>
      </c>
      <c r="D31" s="36" t="s">
        <v>11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>
        <v>3</v>
      </c>
      <c r="DI31" s="49"/>
      <c r="DJ31" s="49"/>
      <c r="DK31" s="49"/>
      <c r="DL31" s="49"/>
      <c r="DM31" s="49"/>
      <c r="DN31" s="49"/>
      <c r="DO31" s="49"/>
      <c r="DP31" s="55">
        <v>4</v>
      </c>
      <c r="DQ31" s="37">
        <v>1</v>
      </c>
      <c r="DR31" s="37">
        <f>PRODUCT(Таблица1[[#This Row],[Столбец4]:[РЕГ НТЛ]])</f>
        <v>4</v>
      </c>
    </row>
    <row r="32" spans="1:122" x14ac:dyDescent="0.25">
      <c r="A32" s="35">
        <v>110</v>
      </c>
      <c r="B32" s="36" t="s">
        <v>295</v>
      </c>
      <c r="C32" s="36" t="s">
        <v>28</v>
      </c>
      <c r="D32" s="36" t="s">
        <v>11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>
        <v>4</v>
      </c>
      <c r="DI32" s="49"/>
      <c r="DJ32" s="49"/>
      <c r="DK32" s="49"/>
      <c r="DL32" s="49"/>
      <c r="DM32" s="49"/>
      <c r="DN32" s="49"/>
      <c r="DO32" s="49"/>
      <c r="DP32" s="55">
        <v>2</v>
      </c>
      <c r="DQ32" s="37">
        <v>1</v>
      </c>
      <c r="DR32" s="37">
        <f>PRODUCT(Таблица1[[#This Row],[Столбец4]:[РЕГ НТЛ]])</f>
        <v>2</v>
      </c>
    </row>
    <row r="33" spans="1:122" x14ac:dyDescent="0.25">
      <c r="A33" s="35">
        <v>100</v>
      </c>
      <c r="B33" s="36" t="s">
        <v>321</v>
      </c>
      <c r="C33" s="36" t="s">
        <v>28</v>
      </c>
      <c r="D33" s="36" t="s">
        <v>11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>
        <v>5</v>
      </c>
      <c r="DI33" s="49"/>
      <c r="DJ33" s="49"/>
      <c r="DK33" s="49"/>
      <c r="DL33" s="49"/>
      <c r="DM33" s="49"/>
      <c r="DN33" s="49"/>
      <c r="DO33" s="49"/>
      <c r="DP33" s="55">
        <v>2</v>
      </c>
      <c r="DQ33" s="37">
        <v>1</v>
      </c>
      <c r="DR33" s="37">
        <f>PRODUCT(Таблица1[[#This Row],[Столбец4]:[РЕГ НТЛ]])</f>
        <v>2</v>
      </c>
    </row>
    <row r="34" spans="1:122" x14ac:dyDescent="0.25">
      <c r="A34" s="35">
        <v>282</v>
      </c>
      <c r="B34" s="36" t="s">
        <v>334</v>
      </c>
      <c r="C34" s="36" t="s">
        <v>28</v>
      </c>
      <c r="D34" s="36" t="s">
        <v>11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>
        <v>1</v>
      </c>
      <c r="DC34" s="36"/>
      <c r="DD34" s="36"/>
      <c r="DE34" s="36"/>
      <c r="DF34" s="36"/>
      <c r="DG34" s="36"/>
      <c r="DH34" s="36"/>
      <c r="DI34" s="49"/>
      <c r="DJ34" s="49"/>
      <c r="DK34" s="49"/>
      <c r="DL34" s="49"/>
      <c r="DM34" s="49"/>
      <c r="DN34" s="49"/>
      <c r="DO34" s="49"/>
      <c r="DP34" s="55">
        <v>6</v>
      </c>
      <c r="DQ34" s="37">
        <v>1</v>
      </c>
      <c r="DR34" s="37">
        <f>PRODUCT(Таблица1[[#This Row],[Столбец4]:[РЕГ НТЛ]])</f>
        <v>6</v>
      </c>
    </row>
    <row r="35" spans="1:122" x14ac:dyDescent="0.25">
      <c r="A35" s="35">
        <v>115</v>
      </c>
      <c r="B35" s="36" t="s">
        <v>296</v>
      </c>
      <c r="C35" s="36" t="s">
        <v>28</v>
      </c>
      <c r="D35" s="36" t="s">
        <v>11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>
        <v>2</v>
      </c>
      <c r="DC35" s="36"/>
      <c r="DD35" s="36"/>
      <c r="DE35" s="36"/>
      <c r="DF35" s="36"/>
      <c r="DG35" s="36"/>
      <c r="DH35" s="36"/>
      <c r="DI35" s="49"/>
      <c r="DJ35" s="49"/>
      <c r="DK35" s="49"/>
      <c r="DL35" s="49"/>
      <c r="DM35" s="49"/>
      <c r="DN35" s="49"/>
      <c r="DO35" s="49"/>
      <c r="DP35" s="55">
        <v>4</v>
      </c>
      <c r="DQ35" s="37">
        <v>1</v>
      </c>
      <c r="DR35" s="37">
        <f>PRODUCT(Таблица1[[#This Row],[Столбец4]:[РЕГ НТЛ]])</f>
        <v>4</v>
      </c>
    </row>
    <row r="36" spans="1:122" x14ac:dyDescent="0.25">
      <c r="A36" s="35">
        <v>108</v>
      </c>
      <c r="B36" s="36" t="s">
        <v>358</v>
      </c>
      <c r="C36" s="2" t="s">
        <v>30</v>
      </c>
      <c r="D36" s="36" t="s">
        <v>12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>
        <v>3</v>
      </c>
      <c r="DC36" s="36"/>
      <c r="DD36" s="36"/>
      <c r="DE36" s="36"/>
      <c r="DF36" s="36"/>
      <c r="DG36" s="36"/>
      <c r="DH36" s="36"/>
      <c r="DI36" s="49"/>
      <c r="DJ36" s="49"/>
      <c r="DK36" s="49"/>
      <c r="DL36" s="49"/>
      <c r="DM36" s="49"/>
      <c r="DN36" s="49"/>
      <c r="DO36" s="49"/>
      <c r="DP36" s="55">
        <v>4</v>
      </c>
      <c r="DQ36" s="37">
        <v>1</v>
      </c>
      <c r="DR36" s="37">
        <f>PRODUCT(Таблица1[[#This Row],[Столбец4]:[РЕГ НТЛ]])</f>
        <v>4</v>
      </c>
    </row>
    <row r="37" spans="1:122" x14ac:dyDescent="0.25">
      <c r="A37" s="35">
        <v>109</v>
      </c>
      <c r="B37" s="36" t="s">
        <v>260</v>
      </c>
      <c r="C37" s="2" t="s">
        <v>30</v>
      </c>
      <c r="D37" s="36" t="s">
        <v>12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>
        <v>4</v>
      </c>
      <c r="DC37" s="36"/>
      <c r="DD37" s="36"/>
      <c r="DE37" s="36"/>
      <c r="DF37" s="36"/>
      <c r="DG37" s="36"/>
      <c r="DH37" s="36"/>
      <c r="DI37" s="49"/>
      <c r="DJ37" s="49"/>
      <c r="DK37" s="49"/>
      <c r="DL37" s="49"/>
      <c r="DM37" s="49"/>
      <c r="DN37" s="49"/>
      <c r="DO37" s="49"/>
      <c r="DP37" s="55">
        <v>2</v>
      </c>
      <c r="DQ37" s="37">
        <v>1</v>
      </c>
      <c r="DR37" s="37">
        <f>PRODUCT(Таблица1[[#This Row],[Столбец4]:[РЕГ НТЛ]])</f>
        <v>2</v>
      </c>
    </row>
    <row r="38" spans="1:122" x14ac:dyDescent="0.25">
      <c r="A38" s="35">
        <v>118</v>
      </c>
      <c r="B38" s="36" t="s">
        <v>342</v>
      </c>
      <c r="C38" s="36" t="s">
        <v>28</v>
      </c>
      <c r="D38" s="36" t="s">
        <v>11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>
        <v>5</v>
      </c>
      <c r="DC38" s="36"/>
      <c r="DD38" s="36"/>
      <c r="DE38" s="36"/>
      <c r="DF38" s="36"/>
      <c r="DG38" s="36"/>
      <c r="DH38" s="36"/>
      <c r="DI38" s="49"/>
      <c r="DJ38" s="49"/>
      <c r="DK38" s="49"/>
      <c r="DL38" s="49"/>
      <c r="DM38" s="49"/>
      <c r="DN38" s="49"/>
      <c r="DO38" s="49"/>
      <c r="DP38" s="55">
        <v>2</v>
      </c>
      <c r="DQ38" s="37">
        <v>1</v>
      </c>
      <c r="DR38" s="37">
        <f>PRODUCT(Таблица1[[#This Row],[Столбец4]:[РЕГ НТЛ]])</f>
        <v>2</v>
      </c>
    </row>
    <row r="39" spans="1:122" x14ac:dyDescent="0.25">
      <c r="A39" s="35">
        <v>112</v>
      </c>
      <c r="B39" s="36" t="s">
        <v>238</v>
      </c>
      <c r="C39" s="36" t="s">
        <v>28</v>
      </c>
      <c r="D39" s="36" t="s">
        <v>11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>
        <v>1</v>
      </c>
      <c r="DB39" s="36"/>
      <c r="DC39" s="36"/>
      <c r="DD39" s="36"/>
      <c r="DE39" s="36"/>
      <c r="DF39" s="36"/>
      <c r="DG39" s="36"/>
      <c r="DH39" s="36"/>
      <c r="DI39" s="49"/>
      <c r="DJ39" s="49"/>
      <c r="DK39" s="49"/>
      <c r="DL39" s="49"/>
      <c r="DM39" s="49"/>
      <c r="DN39" s="49"/>
      <c r="DO39" s="49"/>
      <c r="DP39" s="55">
        <v>12</v>
      </c>
      <c r="DQ39" s="37">
        <v>1</v>
      </c>
      <c r="DR39" s="37">
        <f>PRODUCT(Таблица1[[#This Row],[Столбец4]:[РЕГ НТЛ]])</f>
        <v>12</v>
      </c>
    </row>
    <row r="40" spans="1:122" x14ac:dyDescent="0.25">
      <c r="A40" s="35">
        <v>113</v>
      </c>
      <c r="B40" s="36" t="s">
        <v>229</v>
      </c>
      <c r="C40" s="36" t="s">
        <v>28</v>
      </c>
      <c r="D40" s="36" t="s">
        <v>11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>
        <v>2</v>
      </c>
      <c r="DB40" s="36"/>
      <c r="DC40" s="36"/>
      <c r="DD40" s="36"/>
      <c r="DE40" s="36"/>
      <c r="DF40" s="36"/>
      <c r="DG40" s="36"/>
      <c r="DH40" s="36"/>
      <c r="DI40" s="49"/>
      <c r="DJ40" s="49"/>
      <c r="DK40" s="49"/>
      <c r="DL40" s="49"/>
      <c r="DM40" s="49"/>
      <c r="DN40" s="49"/>
      <c r="DO40" s="49"/>
      <c r="DP40" s="55">
        <v>8</v>
      </c>
      <c r="DQ40" s="37">
        <v>1</v>
      </c>
      <c r="DR40" s="37">
        <f>PRODUCT(Таблица1[[#This Row],[Столбец4]:[РЕГ НТЛ]])</f>
        <v>8</v>
      </c>
    </row>
    <row r="41" spans="1:122" x14ac:dyDescent="0.25">
      <c r="A41" s="35">
        <v>109</v>
      </c>
      <c r="B41" s="36" t="s">
        <v>230</v>
      </c>
      <c r="C41" s="2" t="s">
        <v>30</v>
      </c>
      <c r="D41" s="36" t="s">
        <v>12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>
        <v>3</v>
      </c>
      <c r="DB41" s="36"/>
      <c r="DC41" s="36"/>
      <c r="DD41" s="36"/>
      <c r="DE41" s="36"/>
      <c r="DF41" s="36"/>
      <c r="DG41" s="36"/>
      <c r="DH41" s="36"/>
      <c r="DI41" s="49"/>
      <c r="DJ41" s="49"/>
      <c r="DK41" s="49"/>
      <c r="DL41" s="49"/>
      <c r="DM41" s="49"/>
      <c r="DN41" s="49"/>
      <c r="DO41" s="49"/>
      <c r="DP41" s="55">
        <v>8</v>
      </c>
      <c r="DQ41" s="37">
        <v>1</v>
      </c>
      <c r="DR41" s="37">
        <f>PRODUCT(Таблица1[[#This Row],[Столбец4]:[РЕГ НТЛ]])</f>
        <v>8</v>
      </c>
    </row>
    <row r="42" spans="1:122" x14ac:dyDescent="0.25">
      <c r="A42" s="35">
        <v>105</v>
      </c>
      <c r="B42" s="36" t="s">
        <v>311</v>
      </c>
      <c r="C42" s="36" t="s">
        <v>28</v>
      </c>
      <c r="D42" s="36" t="s">
        <v>11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>
        <v>1</v>
      </c>
      <c r="DA42" s="36"/>
      <c r="DB42" s="36"/>
      <c r="DC42" s="36"/>
      <c r="DD42" s="36"/>
      <c r="DE42" s="36"/>
      <c r="DF42" s="36"/>
      <c r="DG42" s="36"/>
      <c r="DH42" s="36"/>
      <c r="DI42" s="49"/>
      <c r="DJ42" s="49"/>
      <c r="DK42" s="49"/>
      <c r="DL42" s="49"/>
      <c r="DM42" s="49"/>
      <c r="DN42" s="49"/>
      <c r="DO42" s="49"/>
      <c r="DP42" s="55">
        <v>6</v>
      </c>
      <c r="DQ42" s="37">
        <v>1</v>
      </c>
      <c r="DR42" s="37">
        <f>PRODUCT(Таблица1[[#This Row],[Столбец4]:[РЕГ НТЛ]])</f>
        <v>6</v>
      </c>
    </row>
    <row r="43" spans="1:122" x14ac:dyDescent="0.25">
      <c r="A43" s="35">
        <v>95</v>
      </c>
      <c r="B43" s="36" t="s">
        <v>278</v>
      </c>
      <c r="C43" s="36" t="s">
        <v>28</v>
      </c>
      <c r="D43" s="36" t="s">
        <v>11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>
        <v>2</v>
      </c>
      <c r="DA43" s="36"/>
      <c r="DB43" s="36"/>
      <c r="DC43" s="36"/>
      <c r="DD43" s="36"/>
      <c r="DE43" s="36"/>
      <c r="DF43" s="36"/>
      <c r="DG43" s="36"/>
      <c r="DH43" s="36"/>
      <c r="DI43" s="49"/>
      <c r="DJ43" s="49"/>
      <c r="DK43" s="49"/>
      <c r="DL43" s="49"/>
      <c r="DM43" s="49"/>
      <c r="DN43" s="49"/>
      <c r="DO43" s="49"/>
      <c r="DP43" s="55">
        <v>4</v>
      </c>
      <c r="DQ43" s="37">
        <v>1</v>
      </c>
      <c r="DR43" s="37">
        <f>PRODUCT(Таблица1[[#This Row],[Столбец4]:[РЕГ НТЛ]])</f>
        <v>4</v>
      </c>
    </row>
    <row r="44" spans="1:122" x14ac:dyDescent="0.25">
      <c r="A44" s="35">
        <v>94</v>
      </c>
      <c r="B44" s="36" t="s">
        <v>268</v>
      </c>
      <c r="C44" s="36" t="s">
        <v>28</v>
      </c>
      <c r="D44" s="36" t="s">
        <v>11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>
        <v>3</v>
      </c>
      <c r="DA44" s="36"/>
      <c r="DB44" s="36"/>
      <c r="DC44" s="36"/>
      <c r="DD44" s="36"/>
      <c r="DE44" s="36"/>
      <c r="DF44" s="36"/>
      <c r="DG44" s="36"/>
      <c r="DH44" s="36"/>
      <c r="DI44" s="49"/>
      <c r="DJ44" s="49"/>
      <c r="DK44" s="49"/>
      <c r="DL44" s="49"/>
      <c r="DM44" s="49"/>
      <c r="DN44" s="49"/>
      <c r="DO44" s="49"/>
      <c r="DP44" s="55">
        <v>4</v>
      </c>
      <c r="DQ44" s="37">
        <v>1</v>
      </c>
      <c r="DR44" s="37">
        <f>PRODUCT(Таблица1[[#This Row],[Столбец4]:[РЕГ НТЛ]])</f>
        <v>4</v>
      </c>
    </row>
    <row r="45" spans="1:122" x14ac:dyDescent="0.25">
      <c r="A45" s="35">
        <v>87</v>
      </c>
      <c r="B45" s="36" t="s">
        <v>255</v>
      </c>
      <c r="C45" s="36" t="s">
        <v>28</v>
      </c>
      <c r="D45" s="36" t="s">
        <v>11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>
        <v>4</v>
      </c>
      <c r="DA45" s="36"/>
      <c r="DB45" s="36"/>
      <c r="DC45" s="36"/>
      <c r="DD45" s="36"/>
      <c r="DE45" s="36"/>
      <c r="DF45" s="36"/>
      <c r="DG45" s="36"/>
      <c r="DH45" s="36"/>
      <c r="DI45" s="49"/>
      <c r="DJ45" s="49"/>
      <c r="DK45" s="49"/>
      <c r="DL45" s="49"/>
      <c r="DM45" s="49"/>
      <c r="DN45" s="49"/>
      <c r="DO45" s="49"/>
      <c r="DP45" s="55">
        <v>2</v>
      </c>
      <c r="DQ45" s="37">
        <v>1</v>
      </c>
      <c r="DR45" s="37">
        <f>PRODUCT(Таблица1[[#This Row],[Столбец4]:[РЕГ НТЛ]])</f>
        <v>2</v>
      </c>
    </row>
    <row r="46" spans="1:122" x14ac:dyDescent="0.25">
      <c r="A46" s="35">
        <v>88</v>
      </c>
      <c r="B46" s="36" t="s">
        <v>330</v>
      </c>
      <c r="C46" s="36" t="s">
        <v>28</v>
      </c>
      <c r="D46" s="36" t="s">
        <v>11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>
        <v>5</v>
      </c>
      <c r="DA46" s="36"/>
      <c r="DB46" s="36"/>
      <c r="DC46" s="36"/>
      <c r="DD46" s="36"/>
      <c r="DE46" s="36"/>
      <c r="DF46" s="36"/>
      <c r="DG46" s="36"/>
      <c r="DH46" s="36"/>
      <c r="DI46" s="49"/>
      <c r="DJ46" s="49"/>
      <c r="DK46" s="49"/>
      <c r="DL46" s="49"/>
      <c r="DM46" s="49"/>
      <c r="DN46" s="49"/>
      <c r="DO46" s="49"/>
      <c r="DP46" s="55">
        <v>2</v>
      </c>
      <c r="DQ46" s="37">
        <v>1</v>
      </c>
      <c r="DR46" s="37">
        <f>PRODUCT(Таблица1[[#This Row],[Столбец4]:[РЕГ НТЛ]])</f>
        <v>2</v>
      </c>
    </row>
    <row r="47" spans="1:122" x14ac:dyDescent="0.25">
      <c r="A47" s="35">
        <v>98</v>
      </c>
      <c r="B47" s="36" t="s">
        <v>322</v>
      </c>
      <c r="C47" s="36" t="s">
        <v>28</v>
      </c>
      <c r="D47" s="36" t="s">
        <v>11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>
        <v>6</v>
      </c>
      <c r="DA47" s="36"/>
      <c r="DB47" s="36"/>
      <c r="DC47" s="36"/>
      <c r="DD47" s="36"/>
      <c r="DE47" s="36"/>
      <c r="DF47" s="36"/>
      <c r="DG47" s="36"/>
      <c r="DH47" s="36"/>
      <c r="DI47" s="49"/>
      <c r="DJ47" s="49"/>
      <c r="DK47" s="49"/>
      <c r="DL47" s="49"/>
      <c r="DM47" s="49"/>
      <c r="DN47" s="49"/>
      <c r="DO47" s="49"/>
      <c r="DP47" s="55">
        <v>2</v>
      </c>
      <c r="DQ47" s="37">
        <v>1</v>
      </c>
      <c r="DR47" s="37">
        <f>PRODUCT(Таблица1[[#This Row],[Столбец4]:[РЕГ НТЛ]])</f>
        <v>2</v>
      </c>
    </row>
    <row r="48" spans="1:122" x14ac:dyDescent="0.25">
      <c r="A48" s="35">
        <v>91</v>
      </c>
      <c r="B48" s="36" t="s">
        <v>328</v>
      </c>
      <c r="C48" s="36" t="s">
        <v>32</v>
      </c>
      <c r="D48" s="36" t="s">
        <v>146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>
        <v>7</v>
      </c>
      <c r="DA48" s="36"/>
      <c r="DB48" s="36"/>
      <c r="DC48" s="36"/>
      <c r="DD48" s="36"/>
      <c r="DE48" s="36"/>
      <c r="DF48" s="36"/>
      <c r="DG48" s="36"/>
      <c r="DH48" s="36"/>
      <c r="DI48" s="49"/>
      <c r="DJ48" s="49"/>
      <c r="DK48" s="49"/>
      <c r="DL48" s="49"/>
      <c r="DM48" s="49"/>
      <c r="DN48" s="49"/>
      <c r="DO48" s="49"/>
      <c r="DP48" s="55">
        <v>0</v>
      </c>
      <c r="DQ48" s="37">
        <v>0</v>
      </c>
      <c r="DR48" s="37">
        <f>PRODUCT(Таблица1[[#This Row],[Столбец4]:[РЕГ НТЛ]])</f>
        <v>0</v>
      </c>
    </row>
    <row r="49" spans="1:122" x14ac:dyDescent="0.25">
      <c r="A49" s="35">
        <v>89</v>
      </c>
      <c r="B49" s="36" t="s">
        <v>285</v>
      </c>
      <c r="C49" s="36" t="s">
        <v>32</v>
      </c>
      <c r="D49" s="36" t="s">
        <v>146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>
        <v>8</v>
      </c>
      <c r="DA49" s="36"/>
      <c r="DB49" s="36"/>
      <c r="DC49" s="36"/>
      <c r="DD49" s="36"/>
      <c r="DE49" s="36"/>
      <c r="DF49" s="36"/>
      <c r="DG49" s="36"/>
      <c r="DH49" s="36"/>
      <c r="DI49" s="49"/>
      <c r="DJ49" s="49"/>
      <c r="DK49" s="49"/>
      <c r="DL49" s="49"/>
      <c r="DM49" s="49"/>
      <c r="DN49" s="49"/>
      <c r="DO49" s="49"/>
      <c r="DP49" s="55">
        <v>0</v>
      </c>
      <c r="DQ49" s="37">
        <v>0</v>
      </c>
      <c r="DR49" s="37">
        <f>PRODUCT(Таблица1[[#This Row],[Столбец4]:[РЕГ НТЛ]])</f>
        <v>0</v>
      </c>
    </row>
    <row r="50" spans="1:122" x14ac:dyDescent="0.25">
      <c r="A50" s="35">
        <v>283</v>
      </c>
      <c r="B50" s="36" t="s">
        <v>297</v>
      </c>
      <c r="C50" s="36" t="s">
        <v>92</v>
      </c>
      <c r="D50" s="36" t="s">
        <v>205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>
        <v>9</v>
      </c>
      <c r="DA50" s="36"/>
      <c r="DB50" s="36"/>
      <c r="DC50" s="36"/>
      <c r="DD50" s="36"/>
      <c r="DE50" s="36"/>
      <c r="DF50" s="36"/>
      <c r="DG50" s="36"/>
      <c r="DH50" s="36"/>
      <c r="DI50" s="49"/>
      <c r="DJ50" s="49"/>
      <c r="DK50" s="49"/>
      <c r="DL50" s="49"/>
      <c r="DM50" s="49"/>
      <c r="DN50" s="49"/>
      <c r="DO50" s="49"/>
      <c r="DP50" s="55">
        <v>0</v>
      </c>
      <c r="DQ50" s="37">
        <v>0</v>
      </c>
      <c r="DR50" s="37">
        <f>PRODUCT(Таблица1[[#This Row],[Столбец4]:[РЕГ НТЛ]])</f>
        <v>0</v>
      </c>
    </row>
    <row r="51" spans="1:122" x14ac:dyDescent="0.25">
      <c r="A51" s="35">
        <v>50</v>
      </c>
      <c r="B51" s="36" t="s">
        <v>292</v>
      </c>
      <c r="C51" s="36" t="s">
        <v>28</v>
      </c>
      <c r="D51" s="36" t="s">
        <v>11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>
        <v>1</v>
      </c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49"/>
      <c r="DJ51" s="49"/>
      <c r="DK51" s="49"/>
      <c r="DL51" s="49"/>
      <c r="DM51" s="49"/>
      <c r="DN51" s="49"/>
      <c r="DO51" s="49"/>
      <c r="DP51" s="55">
        <v>6</v>
      </c>
      <c r="DQ51" s="37">
        <v>1</v>
      </c>
      <c r="DR51" s="37">
        <f>PRODUCT(Таблица1[[#This Row],[Столбец4]:[РЕГ НТЛ]])</f>
        <v>6</v>
      </c>
    </row>
    <row r="52" spans="1:122" x14ac:dyDescent="0.25">
      <c r="A52" s="35">
        <v>76</v>
      </c>
      <c r="B52" s="36" t="s">
        <v>313</v>
      </c>
      <c r="C52" s="36" t="s">
        <v>28</v>
      </c>
      <c r="D52" s="36" t="s">
        <v>11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>
        <v>2</v>
      </c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49"/>
      <c r="DJ52" s="49"/>
      <c r="DK52" s="49"/>
      <c r="DL52" s="49"/>
      <c r="DM52" s="49"/>
      <c r="DN52" s="49"/>
      <c r="DO52" s="49"/>
      <c r="DP52" s="55">
        <v>4</v>
      </c>
      <c r="DQ52" s="37">
        <v>1</v>
      </c>
      <c r="DR52" s="37">
        <f>PRODUCT(Таблица1[[#This Row],[Столбец4]:[РЕГ НТЛ]])</f>
        <v>4</v>
      </c>
    </row>
    <row r="53" spans="1:122" x14ac:dyDescent="0.25">
      <c r="A53" s="35">
        <v>70</v>
      </c>
      <c r="B53" s="36" t="s">
        <v>347</v>
      </c>
      <c r="C53" s="36" t="s">
        <v>28</v>
      </c>
      <c r="D53" s="36" t="s">
        <v>11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>
        <v>3</v>
      </c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49"/>
      <c r="DJ53" s="49"/>
      <c r="DK53" s="49"/>
      <c r="DL53" s="49"/>
      <c r="DM53" s="49"/>
      <c r="DN53" s="49"/>
      <c r="DO53" s="49"/>
      <c r="DP53" s="55">
        <v>4</v>
      </c>
      <c r="DQ53" s="37">
        <v>1</v>
      </c>
      <c r="DR53" s="37">
        <f>PRODUCT(Таблица1[[#This Row],[Столбец4]:[РЕГ НТЛ]])</f>
        <v>4</v>
      </c>
    </row>
    <row r="54" spans="1:122" x14ac:dyDescent="0.25">
      <c r="A54" s="35">
        <v>65</v>
      </c>
      <c r="B54" s="36" t="s">
        <v>264</v>
      </c>
      <c r="C54" s="36" t="s">
        <v>32</v>
      </c>
      <c r="D54" s="36" t="s">
        <v>146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>
        <v>4</v>
      </c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49"/>
      <c r="DJ54" s="49"/>
      <c r="DK54" s="49"/>
      <c r="DL54" s="49"/>
      <c r="DM54" s="49"/>
      <c r="DN54" s="49"/>
      <c r="DO54" s="49"/>
      <c r="DP54" s="55">
        <v>2</v>
      </c>
      <c r="DQ54" s="37">
        <v>0</v>
      </c>
      <c r="DR54" s="37">
        <f>PRODUCT(Таблица1[[#This Row],[Столбец4]:[РЕГ НТЛ]])</f>
        <v>0</v>
      </c>
    </row>
    <row r="55" spans="1:122" x14ac:dyDescent="0.25">
      <c r="A55" s="35">
        <v>82</v>
      </c>
      <c r="B55" s="36" t="s">
        <v>308</v>
      </c>
      <c r="C55" s="36" t="s">
        <v>23</v>
      </c>
      <c r="D55" s="36" t="s">
        <v>53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>
        <v>5</v>
      </c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49"/>
      <c r="DJ55" s="49"/>
      <c r="DK55" s="49"/>
      <c r="DL55" s="49"/>
      <c r="DM55" s="49"/>
      <c r="DN55" s="49"/>
      <c r="DO55" s="49"/>
      <c r="DP55" s="55">
        <v>2</v>
      </c>
      <c r="DQ55" s="37">
        <v>1</v>
      </c>
      <c r="DR55" s="37">
        <f>PRODUCT(Таблица1[[#This Row],[Столбец4]:[РЕГ НТЛ]])</f>
        <v>2</v>
      </c>
    </row>
    <row r="56" spans="1:122" x14ac:dyDescent="0.25">
      <c r="A56" s="35">
        <v>48</v>
      </c>
      <c r="B56" s="36" t="s">
        <v>357</v>
      </c>
      <c r="C56" s="36" t="s">
        <v>32</v>
      </c>
      <c r="D56" s="36" t="s">
        <v>146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>
        <v>6</v>
      </c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49"/>
      <c r="DJ56" s="49"/>
      <c r="DK56" s="49"/>
      <c r="DL56" s="49"/>
      <c r="DM56" s="49"/>
      <c r="DN56" s="49"/>
      <c r="DO56" s="49"/>
      <c r="DP56" s="55">
        <v>2</v>
      </c>
      <c r="DQ56" s="37">
        <v>0</v>
      </c>
      <c r="DR56" s="37">
        <f>PRODUCT(Таблица1[[#This Row],[Столбец4]:[РЕГ НТЛ]])</f>
        <v>0</v>
      </c>
    </row>
    <row r="57" spans="1:122" x14ac:dyDescent="0.25">
      <c r="A57" s="35">
        <v>75</v>
      </c>
      <c r="B57" s="36" t="s">
        <v>300</v>
      </c>
      <c r="C57" s="36" t="s">
        <v>23</v>
      </c>
      <c r="D57" s="36" t="s">
        <v>179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>
        <v>7</v>
      </c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49"/>
      <c r="DJ57" s="49"/>
      <c r="DK57" s="49"/>
      <c r="DL57" s="49"/>
      <c r="DM57" s="49"/>
      <c r="DN57" s="49"/>
      <c r="DO57" s="49"/>
      <c r="DP57" s="55">
        <v>0</v>
      </c>
      <c r="DQ57" s="37">
        <v>1</v>
      </c>
      <c r="DR57" s="37">
        <f>PRODUCT(Таблица1[[#This Row],[Столбец4]:[РЕГ НТЛ]])</f>
        <v>0</v>
      </c>
    </row>
    <row r="58" spans="1:122" x14ac:dyDescent="0.25">
      <c r="A58" s="35">
        <v>52</v>
      </c>
      <c r="B58" s="36" t="s">
        <v>302</v>
      </c>
      <c r="C58" s="2" t="s">
        <v>40</v>
      </c>
      <c r="D58" s="36" t="s">
        <v>14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>
        <v>8</v>
      </c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49"/>
      <c r="DJ58" s="49"/>
      <c r="DK58" s="49"/>
      <c r="DL58" s="49"/>
      <c r="DM58" s="49"/>
      <c r="DN58" s="49"/>
      <c r="DO58" s="49"/>
      <c r="DP58" s="55">
        <v>0</v>
      </c>
      <c r="DQ58" s="37">
        <v>0</v>
      </c>
      <c r="DR58" s="37">
        <f>PRODUCT(Таблица1[[#This Row],[Столбец4]:[РЕГ НТЛ]])</f>
        <v>0</v>
      </c>
    </row>
    <row r="59" spans="1:122" x14ac:dyDescent="0.25">
      <c r="A59" s="35">
        <v>56</v>
      </c>
      <c r="B59" s="36" t="s">
        <v>273</v>
      </c>
      <c r="C59" s="36" t="s">
        <v>32</v>
      </c>
      <c r="D59" s="36" t="s">
        <v>146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>
        <v>9</v>
      </c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49"/>
      <c r="DJ59" s="49"/>
      <c r="DK59" s="49"/>
      <c r="DL59" s="49"/>
      <c r="DM59" s="49"/>
      <c r="DN59" s="49"/>
      <c r="DO59" s="49"/>
      <c r="DP59" s="55">
        <v>0</v>
      </c>
      <c r="DQ59" s="37">
        <v>0</v>
      </c>
      <c r="DR59" s="37">
        <f>PRODUCT(Таблица1[[#This Row],[Столбец4]:[РЕГ НТЛ]])</f>
        <v>0</v>
      </c>
    </row>
    <row r="60" spans="1:122" x14ac:dyDescent="0.25">
      <c r="A60" s="35">
        <v>74</v>
      </c>
      <c r="B60" s="36" t="s">
        <v>240</v>
      </c>
      <c r="C60" s="36" t="s">
        <v>28</v>
      </c>
      <c r="D60" s="36" t="s">
        <v>11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>
        <v>1</v>
      </c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49"/>
      <c r="DJ60" s="49"/>
      <c r="DK60" s="49"/>
      <c r="DL60" s="49"/>
      <c r="DM60" s="49"/>
      <c r="DN60" s="49"/>
      <c r="DO60" s="49"/>
      <c r="DP60" s="55">
        <v>12</v>
      </c>
      <c r="DQ60" s="37">
        <v>1</v>
      </c>
      <c r="DR60" s="37">
        <f>PRODUCT(Таблица1[[#This Row],[Столбец4]:[РЕГ НТЛ]])</f>
        <v>12</v>
      </c>
    </row>
    <row r="61" spans="1:122" x14ac:dyDescent="0.25">
      <c r="A61" s="35">
        <v>72</v>
      </c>
      <c r="B61" s="36" t="s">
        <v>221</v>
      </c>
      <c r="C61" s="36" t="s">
        <v>23</v>
      </c>
      <c r="D61" s="36" t="s">
        <v>111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>
        <v>2</v>
      </c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49"/>
      <c r="DJ61" s="49"/>
      <c r="DK61" s="49"/>
      <c r="DL61" s="49"/>
      <c r="DM61" s="49"/>
      <c r="DN61" s="49"/>
      <c r="DO61" s="49"/>
      <c r="DP61" s="55">
        <v>8</v>
      </c>
      <c r="DQ61" s="37">
        <v>1</v>
      </c>
      <c r="DR61" s="37">
        <f>PRODUCT(Таблица1[[#This Row],[Столбец4]:[РЕГ НТЛ]])</f>
        <v>8</v>
      </c>
    </row>
    <row r="62" spans="1:122" x14ac:dyDescent="0.25">
      <c r="A62" s="35">
        <v>278</v>
      </c>
      <c r="B62" s="36" t="s">
        <v>242</v>
      </c>
      <c r="C62" s="36" t="s">
        <v>28</v>
      </c>
      <c r="D62" s="36" t="s">
        <v>11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>
        <v>3</v>
      </c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49"/>
      <c r="DJ62" s="49"/>
      <c r="DK62" s="49"/>
      <c r="DL62" s="49"/>
      <c r="DM62" s="49"/>
      <c r="DN62" s="49"/>
      <c r="DO62" s="49"/>
      <c r="DP62" s="55">
        <v>8</v>
      </c>
      <c r="DQ62" s="37">
        <v>1</v>
      </c>
      <c r="DR62" s="37">
        <f>PRODUCT(Таблица1[[#This Row],[Столбец4]:[РЕГ НТЛ]])</f>
        <v>8</v>
      </c>
    </row>
    <row r="63" spans="1:122" x14ac:dyDescent="0.25">
      <c r="A63" s="35">
        <v>280</v>
      </c>
      <c r="B63" s="36" t="s">
        <v>226</v>
      </c>
      <c r="C63" s="36" t="s">
        <v>92</v>
      </c>
      <c r="D63" s="36" t="s">
        <v>46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>
        <v>4</v>
      </c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49"/>
      <c r="DJ63" s="49"/>
      <c r="DK63" s="49"/>
      <c r="DL63" s="49"/>
      <c r="DM63" s="49"/>
      <c r="DN63" s="49"/>
      <c r="DO63" s="49"/>
      <c r="DP63" s="55">
        <v>4</v>
      </c>
      <c r="DQ63" s="37">
        <v>0</v>
      </c>
      <c r="DR63" s="37">
        <f>PRODUCT(Таблица1[[#This Row],[Столбец4]:[РЕГ НТЛ]])</f>
        <v>0</v>
      </c>
    </row>
    <row r="64" spans="1:122" x14ac:dyDescent="0.25">
      <c r="A64" s="35">
        <v>83</v>
      </c>
      <c r="B64" s="36" t="s">
        <v>352</v>
      </c>
      <c r="C64" s="36" t="s">
        <v>28</v>
      </c>
      <c r="D64" s="36" t="s">
        <v>11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>
        <v>1</v>
      </c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49"/>
      <c r="DJ64" s="49"/>
      <c r="DK64" s="49"/>
      <c r="DL64" s="49"/>
      <c r="DM64" s="49"/>
      <c r="DN64" s="49"/>
      <c r="DO64" s="49"/>
      <c r="DP64" s="55">
        <v>6</v>
      </c>
      <c r="DQ64" s="37">
        <v>1</v>
      </c>
      <c r="DR64" s="37">
        <f>PRODUCT(Таблица1[[#This Row],[Столбец4]:[РЕГ НТЛ]])</f>
        <v>6</v>
      </c>
    </row>
    <row r="65" spans="1:122" x14ac:dyDescent="0.25">
      <c r="A65" s="35">
        <v>55</v>
      </c>
      <c r="B65" s="36" t="s">
        <v>336</v>
      </c>
      <c r="C65" s="36" t="s">
        <v>23</v>
      </c>
      <c r="D65" s="36" t="s">
        <v>150</v>
      </c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>
        <v>2</v>
      </c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49"/>
      <c r="DJ65" s="49"/>
      <c r="DK65" s="49"/>
      <c r="DL65" s="49"/>
      <c r="DM65" s="49"/>
      <c r="DN65" s="49"/>
      <c r="DO65" s="49"/>
      <c r="DP65" s="55">
        <v>4</v>
      </c>
      <c r="DQ65" s="37">
        <v>1</v>
      </c>
      <c r="DR65" s="37">
        <f>PRODUCT(Таблица1[[#This Row],[Столбец4]:[РЕГ НТЛ]])</f>
        <v>4</v>
      </c>
    </row>
    <row r="66" spans="1:122" x14ac:dyDescent="0.25">
      <c r="A66" s="35">
        <v>86</v>
      </c>
      <c r="B66" s="36" t="s">
        <v>310</v>
      </c>
      <c r="C66" s="36" t="s">
        <v>28</v>
      </c>
      <c r="D66" s="36" t="s">
        <v>11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>
        <v>3</v>
      </c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49"/>
      <c r="DJ66" s="49"/>
      <c r="DK66" s="49"/>
      <c r="DL66" s="49"/>
      <c r="DM66" s="49"/>
      <c r="DN66" s="49"/>
      <c r="DO66" s="49"/>
      <c r="DP66" s="55">
        <v>4</v>
      </c>
      <c r="DQ66" s="37">
        <v>1</v>
      </c>
      <c r="DR66" s="37">
        <f>PRODUCT(Таблица1[[#This Row],[Столбец4]:[РЕГ НТЛ]])</f>
        <v>4</v>
      </c>
    </row>
    <row r="67" spans="1:122" x14ac:dyDescent="0.25">
      <c r="A67" s="35">
        <v>83</v>
      </c>
      <c r="B67" s="36" t="s">
        <v>352</v>
      </c>
      <c r="C67" s="36" t="s">
        <v>28</v>
      </c>
      <c r="D67" s="36" t="s">
        <v>11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>
        <v>1</v>
      </c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49"/>
      <c r="DJ67" s="49"/>
      <c r="DK67" s="49"/>
      <c r="DL67" s="49"/>
      <c r="DM67" s="49"/>
      <c r="DN67" s="49"/>
      <c r="DO67" s="49"/>
      <c r="DP67" s="55">
        <v>6</v>
      </c>
      <c r="DQ67" s="37">
        <v>1</v>
      </c>
      <c r="DR67" s="37">
        <f>PRODUCT(Таблица1[[#This Row],[Столбец4]:[РЕГ НТЛ]])</f>
        <v>6</v>
      </c>
    </row>
    <row r="68" spans="1:122" x14ac:dyDescent="0.25">
      <c r="A68" s="35">
        <v>73</v>
      </c>
      <c r="B68" s="36" t="s">
        <v>282</v>
      </c>
      <c r="C68" s="36" t="s">
        <v>28</v>
      </c>
      <c r="D68" s="36" t="s">
        <v>11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>
        <v>2</v>
      </c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49"/>
      <c r="DJ68" s="49"/>
      <c r="DK68" s="49"/>
      <c r="DL68" s="49"/>
      <c r="DM68" s="49"/>
      <c r="DN68" s="49"/>
      <c r="DO68" s="49"/>
      <c r="DP68" s="55">
        <v>4</v>
      </c>
      <c r="DQ68" s="37">
        <v>1</v>
      </c>
      <c r="DR68" s="37">
        <f>PRODUCT(Таблица1[[#This Row],[Столбец4]:[РЕГ НТЛ]])</f>
        <v>4</v>
      </c>
    </row>
    <row r="69" spans="1:122" x14ac:dyDescent="0.25">
      <c r="A69" s="35">
        <v>55</v>
      </c>
      <c r="B69" s="36" t="s">
        <v>336</v>
      </c>
      <c r="C69" s="36" t="s">
        <v>23</v>
      </c>
      <c r="D69" s="36" t="s">
        <v>150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>
        <v>3</v>
      </c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49"/>
      <c r="DJ69" s="49"/>
      <c r="DK69" s="49"/>
      <c r="DL69" s="49"/>
      <c r="DM69" s="49"/>
      <c r="DN69" s="49"/>
      <c r="DO69" s="49"/>
      <c r="DP69" s="55">
        <v>4</v>
      </c>
      <c r="DQ69" s="37">
        <v>1</v>
      </c>
      <c r="DR69" s="37">
        <f>PRODUCT(Таблица1[[#This Row],[Столбец4]:[РЕГ НТЛ]])</f>
        <v>4</v>
      </c>
    </row>
    <row r="70" spans="1:122" x14ac:dyDescent="0.25">
      <c r="A70" s="35">
        <v>58</v>
      </c>
      <c r="B70" s="36" t="s">
        <v>304</v>
      </c>
      <c r="C70" s="36" t="s">
        <v>28</v>
      </c>
      <c r="D70" s="36" t="s">
        <v>11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>
        <v>4</v>
      </c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49"/>
      <c r="DJ70" s="49"/>
      <c r="DK70" s="49"/>
      <c r="DL70" s="49"/>
      <c r="DM70" s="49"/>
      <c r="DN70" s="49"/>
      <c r="DO70" s="49"/>
      <c r="DP70" s="55">
        <v>2</v>
      </c>
      <c r="DQ70" s="37">
        <v>1</v>
      </c>
      <c r="DR70" s="37">
        <f>PRODUCT(Таблица1[[#This Row],[Столбец4]:[РЕГ НТЛ]])</f>
        <v>2</v>
      </c>
    </row>
    <row r="71" spans="1:122" x14ac:dyDescent="0.25">
      <c r="A71" s="35">
        <v>81</v>
      </c>
      <c r="B71" s="36" t="s">
        <v>345</v>
      </c>
      <c r="C71" s="36" t="s">
        <v>23</v>
      </c>
      <c r="D71" s="36" t="s">
        <v>175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>
        <v>5</v>
      </c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49"/>
      <c r="DJ71" s="49"/>
      <c r="DK71" s="49"/>
      <c r="DL71" s="49"/>
      <c r="DM71" s="49"/>
      <c r="DN71" s="49"/>
      <c r="DO71" s="49"/>
      <c r="DP71" s="55">
        <v>2</v>
      </c>
      <c r="DQ71" s="37">
        <v>1</v>
      </c>
      <c r="DR71" s="37">
        <f>PRODUCT(Таблица1[[#This Row],[Столбец4]:[РЕГ НТЛ]])</f>
        <v>2</v>
      </c>
    </row>
    <row r="72" spans="1:122" x14ac:dyDescent="0.25">
      <c r="A72" s="35">
        <v>84</v>
      </c>
      <c r="B72" s="36" t="s">
        <v>271</v>
      </c>
      <c r="C72" s="36" t="s">
        <v>23</v>
      </c>
      <c r="D72" s="36" t="s">
        <v>53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>
        <v>6</v>
      </c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49"/>
      <c r="DJ72" s="49"/>
      <c r="DK72" s="49"/>
      <c r="DL72" s="49"/>
      <c r="DM72" s="49"/>
      <c r="DN72" s="49"/>
      <c r="DO72" s="49"/>
      <c r="DP72" s="55">
        <v>2</v>
      </c>
      <c r="DQ72" s="37">
        <v>1</v>
      </c>
      <c r="DR72" s="37">
        <f>PRODUCT(Таблица1[[#This Row],[Столбец4]:[РЕГ НТЛ]])</f>
        <v>2</v>
      </c>
    </row>
    <row r="73" spans="1:122" x14ac:dyDescent="0.25">
      <c r="A73" s="35">
        <v>80</v>
      </c>
      <c r="B73" s="36" t="s">
        <v>315</v>
      </c>
      <c r="C73" s="2" t="s">
        <v>30</v>
      </c>
      <c r="D73" s="36" t="s">
        <v>12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>
        <v>1</v>
      </c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49"/>
      <c r="DJ73" s="49"/>
      <c r="DK73" s="49"/>
      <c r="DL73" s="49"/>
      <c r="DM73" s="49"/>
      <c r="DN73" s="49"/>
      <c r="DO73" s="49"/>
      <c r="DP73" s="55">
        <v>6</v>
      </c>
      <c r="DQ73" s="37">
        <v>1</v>
      </c>
      <c r="DR73" s="37">
        <f>PRODUCT(Таблица1[[#This Row],[Столбец4]:[РЕГ НТЛ]])</f>
        <v>6</v>
      </c>
    </row>
    <row r="74" spans="1:122" x14ac:dyDescent="0.25">
      <c r="A74" s="35">
        <v>81</v>
      </c>
      <c r="B74" s="36" t="s">
        <v>345</v>
      </c>
      <c r="C74" s="36" t="s">
        <v>23</v>
      </c>
      <c r="D74" s="36" t="s">
        <v>175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>
        <v>2</v>
      </c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49"/>
      <c r="DJ74" s="49"/>
      <c r="DK74" s="49"/>
      <c r="DL74" s="49"/>
      <c r="DM74" s="49"/>
      <c r="DN74" s="49"/>
      <c r="DO74" s="49"/>
      <c r="DP74" s="55">
        <v>4</v>
      </c>
      <c r="DQ74" s="37">
        <v>1</v>
      </c>
      <c r="DR74" s="37">
        <f>PRODUCT(Таблица1[[#This Row],[Столбец4]:[РЕГ НТЛ]])</f>
        <v>4</v>
      </c>
    </row>
    <row r="75" spans="1:122" x14ac:dyDescent="0.25">
      <c r="A75" s="35">
        <v>86</v>
      </c>
      <c r="B75" s="36" t="s">
        <v>310</v>
      </c>
      <c r="C75" s="36" t="s">
        <v>28</v>
      </c>
      <c r="D75" s="36" t="s">
        <v>11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>
        <v>3</v>
      </c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49"/>
      <c r="DJ75" s="49"/>
      <c r="DK75" s="49"/>
      <c r="DL75" s="49"/>
      <c r="DM75" s="49"/>
      <c r="DN75" s="49"/>
      <c r="DO75" s="49"/>
      <c r="DP75" s="55">
        <v>4</v>
      </c>
      <c r="DQ75" s="37">
        <v>1</v>
      </c>
      <c r="DR75" s="37">
        <f>PRODUCT(Таблица1[[#This Row],[Столбец4]:[РЕГ НТЛ]])</f>
        <v>4</v>
      </c>
    </row>
    <row r="76" spans="1:122" x14ac:dyDescent="0.25">
      <c r="A76" s="35">
        <v>279</v>
      </c>
      <c r="B76" s="36" t="s">
        <v>251</v>
      </c>
      <c r="C76" s="36" t="s">
        <v>35</v>
      </c>
      <c r="D76" s="36" t="s">
        <v>20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>
        <v>4</v>
      </c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49"/>
      <c r="DJ76" s="49"/>
      <c r="DK76" s="49"/>
      <c r="DL76" s="49"/>
      <c r="DM76" s="49"/>
      <c r="DN76" s="49"/>
      <c r="DO76" s="49"/>
      <c r="DP76" s="55">
        <v>2</v>
      </c>
      <c r="DQ76" s="37">
        <v>1</v>
      </c>
      <c r="DR76" s="37">
        <f>PRODUCT(Таблица1[[#This Row],[Столбец4]:[РЕГ НТЛ]])</f>
        <v>2</v>
      </c>
    </row>
    <row r="77" spans="1:122" x14ac:dyDescent="0.25">
      <c r="A77" s="35">
        <v>73</v>
      </c>
      <c r="B77" s="36" t="s">
        <v>282</v>
      </c>
      <c r="C77" s="36" t="s">
        <v>28</v>
      </c>
      <c r="D77" s="36" t="s">
        <v>11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>
        <v>5</v>
      </c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49"/>
      <c r="DJ77" s="49"/>
      <c r="DK77" s="49"/>
      <c r="DL77" s="49"/>
      <c r="DM77" s="49"/>
      <c r="DN77" s="49"/>
      <c r="DO77" s="49"/>
      <c r="DP77" s="55">
        <v>2</v>
      </c>
      <c r="DQ77" s="37">
        <v>1</v>
      </c>
      <c r="DR77" s="37">
        <f>PRODUCT(Таблица1[[#This Row],[Столбец4]:[РЕГ НТЛ]])</f>
        <v>2</v>
      </c>
    </row>
    <row r="78" spans="1:122" x14ac:dyDescent="0.25">
      <c r="A78" s="35">
        <v>58</v>
      </c>
      <c r="B78" s="36" t="s">
        <v>304</v>
      </c>
      <c r="C78" s="36" t="s">
        <v>28</v>
      </c>
      <c r="D78" s="36" t="s">
        <v>11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>
        <v>6</v>
      </c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49"/>
      <c r="DJ78" s="49"/>
      <c r="DK78" s="49"/>
      <c r="DL78" s="49"/>
      <c r="DM78" s="49"/>
      <c r="DN78" s="49"/>
      <c r="DO78" s="49"/>
      <c r="DP78" s="55">
        <v>2</v>
      </c>
      <c r="DQ78" s="37">
        <v>1</v>
      </c>
      <c r="DR78" s="37">
        <f>PRODUCT(Таблица1[[#This Row],[Столбец4]:[РЕГ НТЛ]])</f>
        <v>2</v>
      </c>
    </row>
    <row r="79" spans="1:122" x14ac:dyDescent="0.25">
      <c r="A79" s="35">
        <v>84</v>
      </c>
      <c r="B79" s="36" t="s">
        <v>271</v>
      </c>
      <c r="C79" s="36" t="s">
        <v>23</v>
      </c>
      <c r="D79" s="36" t="s">
        <v>53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>
        <v>7</v>
      </c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49"/>
      <c r="DJ79" s="49"/>
      <c r="DK79" s="49"/>
      <c r="DL79" s="49"/>
      <c r="DM79" s="49"/>
      <c r="DN79" s="49"/>
      <c r="DO79" s="49"/>
      <c r="DP79" s="55">
        <v>0</v>
      </c>
      <c r="DQ79" s="37">
        <v>1</v>
      </c>
      <c r="DR79" s="37">
        <f>PRODUCT(Таблица1[[#This Row],[Столбец4]:[РЕГ НТЛ]])</f>
        <v>0</v>
      </c>
    </row>
    <row r="80" spans="1:122" x14ac:dyDescent="0.25">
      <c r="A80" s="35">
        <v>81</v>
      </c>
      <c r="B80" s="36" t="s">
        <v>345</v>
      </c>
      <c r="C80" s="36" t="s">
        <v>23</v>
      </c>
      <c r="D80" s="36" t="s">
        <v>175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>
        <v>1</v>
      </c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49"/>
      <c r="DJ80" s="49"/>
      <c r="DK80" s="49"/>
      <c r="DL80" s="49"/>
      <c r="DM80" s="49"/>
      <c r="DN80" s="49"/>
      <c r="DO80" s="49"/>
      <c r="DP80" s="55">
        <v>6</v>
      </c>
      <c r="DQ80" s="37">
        <v>1</v>
      </c>
      <c r="DR80" s="37">
        <f>PRODUCT(Таблица1[[#This Row],[Столбец4]:[РЕГ НТЛ]])</f>
        <v>6</v>
      </c>
    </row>
    <row r="81" spans="1:122" x14ac:dyDescent="0.25">
      <c r="A81" s="35">
        <v>83</v>
      </c>
      <c r="B81" s="36" t="s">
        <v>352</v>
      </c>
      <c r="C81" s="36" t="s">
        <v>28</v>
      </c>
      <c r="D81" s="36" t="s">
        <v>11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>
        <v>2</v>
      </c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49"/>
      <c r="DJ81" s="49"/>
      <c r="DK81" s="49"/>
      <c r="DL81" s="49"/>
      <c r="DM81" s="49"/>
      <c r="DN81" s="49"/>
      <c r="DO81" s="49"/>
      <c r="DP81" s="55">
        <v>4</v>
      </c>
      <c r="DQ81" s="37">
        <v>1</v>
      </c>
      <c r="DR81" s="37">
        <f>PRODUCT(Таблица1[[#This Row],[Столбец4]:[РЕГ НТЛ]])</f>
        <v>4</v>
      </c>
    </row>
    <row r="82" spans="1:122" x14ac:dyDescent="0.25">
      <c r="A82" s="35">
        <v>279</v>
      </c>
      <c r="B82" s="36" t="s">
        <v>251</v>
      </c>
      <c r="C82" s="36" t="s">
        <v>35</v>
      </c>
      <c r="D82" s="36" t="s">
        <v>20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>
        <v>3</v>
      </c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49"/>
      <c r="DJ82" s="49"/>
      <c r="DK82" s="49"/>
      <c r="DL82" s="49"/>
      <c r="DM82" s="49"/>
      <c r="DN82" s="49"/>
      <c r="DO82" s="49"/>
      <c r="DP82" s="55">
        <v>4</v>
      </c>
      <c r="DQ82" s="37">
        <v>1</v>
      </c>
      <c r="DR82" s="37">
        <f>PRODUCT(Таблица1[[#This Row],[Столбец4]:[РЕГ НТЛ]])</f>
        <v>4</v>
      </c>
    </row>
    <row r="83" spans="1:122" x14ac:dyDescent="0.25">
      <c r="A83" s="35">
        <v>66</v>
      </c>
      <c r="B83" s="36" t="s">
        <v>298</v>
      </c>
      <c r="C83" s="36" t="s">
        <v>28</v>
      </c>
      <c r="D83" s="36" t="s">
        <v>11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>
        <v>4</v>
      </c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49"/>
      <c r="DJ83" s="49"/>
      <c r="DK83" s="49"/>
      <c r="DL83" s="49"/>
      <c r="DM83" s="49"/>
      <c r="DN83" s="49"/>
      <c r="DO83" s="49"/>
      <c r="DP83" s="55">
        <v>2</v>
      </c>
      <c r="DQ83" s="37">
        <v>1</v>
      </c>
      <c r="DR83" s="37">
        <f>PRODUCT(Таблица1[[#This Row],[Столбец4]:[РЕГ НТЛ]])</f>
        <v>2</v>
      </c>
    </row>
    <row r="84" spans="1:122" x14ac:dyDescent="0.25">
      <c r="A84" s="35">
        <v>73</v>
      </c>
      <c r="B84" s="36" t="s">
        <v>282</v>
      </c>
      <c r="C84" s="36" t="s">
        <v>28</v>
      </c>
      <c r="D84" s="36" t="s">
        <v>11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>
        <v>5</v>
      </c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49"/>
      <c r="DJ84" s="49"/>
      <c r="DK84" s="49"/>
      <c r="DL84" s="49"/>
      <c r="DM84" s="49"/>
      <c r="DN84" s="49"/>
      <c r="DO84" s="49"/>
      <c r="DP84" s="55">
        <v>2</v>
      </c>
      <c r="DQ84" s="37">
        <v>1</v>
      </c>
      <c r="DR84" s="37">
        <f>PRODUCT(Таблица1[[#This Row],[Столбец4]:[РЕГ НТЛ]])</f>
        <v>2</v>
      </c>
    </row>
    <row r="85" spans="1:122" x14ac:dyDescent="0.25">
      <c r="A85" s="35">
        <v>58</v>
      </c>
      <c r="B85" s="36" t="s">
        <v>304</v>
      </c>
      <c r="C85" s="36" t="s">
        <v>28</v>
      </c>
      <c r="D85" s="36" t="s">
        <v>11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>
        <v>6</v>
      </c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49"/>
      <c r="DJ85" s="49"/>
      <c r="DK85" s="49"/>
      <c r="DL85" s="49"/>
      <c r="DM85" s="49"/>
      <c r="DN85" s="49"/>
      <c r="DO85" s="49"/>
      <c r="DP85" s="55">
        <v>2</v>
      </c>
      <c r="DQ85" s="37">
        <v>1</v>
      </c>
      <c r="DR85" s="37">
        <f>PRODUCT(Таблица1[[#This Row],[Столбец4]:[РЕГ НТЛ]])</f>
        <v>2</v>
      </c>
    </row>
    <row r="86" spans="1:122" x14ac:dyDescent="0.25">
      <c r="A86" s="35">
        <v>59</v>
      </c>
      <c r="B86" s="36" t="s">
        <v>309</v>
      </c>
      <c r="C86" s="36" t="s">
        <v>28</v>
      </c>
      <c r="D86" s="36" t="s">
        <v>11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>
        <v>7</v>
      </c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49"/>
      <c r="DJ86" s="49"/>
      <c r="DK86" s="49"/>
      <c r="DL86" s="49"/>
      <c r="DM86" s="49"/>
      <c r="DN86" s="49"/>
      <c r="DO86" s="49"/>
      <c r="DP86" s="55">
        <v>0</v>
      </c>
      <c r="DQ86" s="37">
        <v>1</v>
      </c>
      <c r="DR86" s="37">
        <f>PRODUCT(Таблица1[[#This Row],[Столбец4]:[РЕГ НТЛ]])</f>
        <v>0</v>
      </c>
    </row>
    <row r="87" spans="1:122" x14ac:dyDescent="0.25">
      <c r="A87" s="35">
        <v>84</v>
      </c>
      <c r="B87" s="36" t="s">
        <v>271</v>
      </c>
      <c r="C87" s="36" t="s">
        <v>23</v>
      </c>
      <c r="D87" s="36" t="s">
        <v>53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>
        <v>8</v>
      </c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49"/>
      <c r="DJ87" s="49"/>
      <c r="DK87" s="49"/>
      <c r="DL87" s="49"/>
      <c r="DM87" s="49"/>
      <c r="DN87" s="49"/>
      <c r="DO87" s="49"/>
      <c r="DP87" s="55">
        <v>0</v>
      </c>
      <c r="DQ87" s="37">
        <v>1</v>
      </c>
      <c r="DR87" s="37">
        <f>PRODUCT(Таблица1[[#This Row],[Столбец4]:[РЕГ НТЛ]])</f>
        <v>0</v>
      </c>
    </row>
    <row r="88" spans="1:122" x14ac:dyDescent="0.25">
      <c r="A88" s="35">
        <v>50</v>
      </c>
      <c r="B88" s="36" t="s">
        <v>292</v>
      </c>
      <c r="C88" s="36" t="s">
        <v>28</v>
      </c>
      <c r="D88" s="36" t="s">
        <v>11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>
        <v>1</v>
      </c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49"/>
      <c r="DJ88" s="49"/>
      <c r="DK88" s="49"/>
      <c r="DL88" s="49"/>
      <c r="DM88" s="49"/>
      <c r="DN88" s="49"/>
      <c r="DO88" s="49"/>
      <c r="DP88" s="55">
        <v>6</v>
      </c>
      <c r="DQ88" s="37">
        <v>1</v>
      </c>
      <c r="DR88" s="37">
        <f>PRODUCT(Таблица1[[#This Row],[Столбец4]:[РЕГ НТЛ]])</f>
        <v>6</v>
      </c>
    </row>
    <row r="89" spans="1:122" x14ac:dyDescent="0.25">
      <c r="A89" s="35">
        <v>70</v>
      </c>
      <c r="B89" s="36" t="s">
        <v>347</v>
      </c>
      <c r="C89" s="36" t="s">
        <v>28</v>
      </c>
      <c r="D89" s="36" t="s">
        <v>11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>
        <v>2</v>
      </c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49"/>
      <c r="DJ89" s="49"/>
      <c r="DK89" s="49"/>
      <c r="DL89" s="49"/>
      <c r="DM89" s="49"/>
      <c r="DN89" s="49"/>
      <c r="DO89" s="49"/>
      <c r="DP89" s="55">
        <v>4</v>
      </c>
      <c r="DQ89" s="37">
        <v>1</v>
      </c>
      <c r="DR89" s="37">
        <f>PRODUCT(Таблица1[[#This Row],[Столбец4]:[РЕГ НТЛ]])</f>
        <v>4</v>
      </c>
    </row>
    <row r="90" spans="1:122" x14ac:dyDescent="0.25">
      <c r="A90" s="35">
        <v>76</v>
      </c>
      <c r="B90" s="36" t="s">
        <v>313</v>
      </c>
      <c r="C90" s="36" t="s">
        <v>28</v>
      </c>
      <c r="D90" s="36" t="s">
        <v>11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>
        <v>3</v>
      </c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49"/>
      <c r="DJ90" s="49"/>
      <c r="DK90" s="49"/>
      <c r="DL90" s="49"/>
      <c r="DM90" s="49"/>
      <c r="DN90" s="49"/>
      <c r="DO90" s="49"/>
      <c r="DP90" s="55">
        <v>4</v>
      </c>
      <c r="DQ90" s="37">
        <v>1</v>
      </c>
      <c r="DR90" s="37">
        <f>PRODUCT(Таблица1[[#This Row],[Столбец4]:[РЕГ НТЛ]])</f>
        <v>4</v>
      </c>
    </row>
    <row r="91" spans="1:122" x14ac:dyDescent="0.25">
      <c r="A91" s="35">
        <v>50</v>
      </c>
      <c r="B91" s="36" t="s">
        <v>292</v>
      </c>
      <c r="C91" s="36" t="s">
        <v>28</v>
      </c>
      <c r="D91" s="36" t="s">
        <v>11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>
        <v>1</v>
      </c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49"/>
      <c r="DJ91" s="49"/>
      <c r="DK91" s="49"/>
      <c r="DL91" s="49"/>
      <c r="DM91" s="49"/>
      <c r="DN91" s="49"/>
      <c r="DO91" s="49"/>
      <c r="DP91" s="55">
        <v>6</v>
      </c>
      <c r="DQ91" s="37">
        <v>1</v>
      </c>
      <c r="DR91" s="37">
        <f>PRODUCT(Таблица1[[#This Row],[Столбец4]:[РЕГ НТЛ]])</f>
        <v>6</v>
      </c>
    </row>
    <row r="92" spans="1:122" x14ac:dyDescent="0.25">
      <c r="A92" s="35">
        <v>76</v>
      </c>
      <c r="B92" s="36" t="s">
        <v>313</v>
      </c>
      <c r="C92" s="36" t="s">
        <v>28</v>
      </c>
      <c r="D92" s="36" t="s">
        <v>11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>
        <v>2</v>
      </c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49"/>
      <c r="DJ92" s="49"/>
      <c r="DK92" s="49"/>
      <c r="DL92" s="49"/>
      <c r="DM92" s="49"/>
      <c r="DN92" s="49"/>
      <c r="DO92" s="49"/>
      <c r="DP92" s="55">
        <v>4</v>
      </c>
      <c r="DQ92" s="37">
        <v>1</v>
      </c>
      <c r="DR92" s="37">
        <f>PRODUCT(Таблица1[[#This Row],[Столбец4]:[РЕГ НТЛ]])</f>
        <v>4</v>
      </c>
    </row>
    <row r="93" spans="1:122" x14ac:dyDescent="0.25">
      <c r="A93" s="35">
        <v>60</v>
      </c>
      <c r="B93" s="36" t="s">
        <v>340</v>
      </c>
      <c r="C93" s="36" t="s">
        <v>28</v>
      </c>
      <c r="D93" s="36" t="s">
        <v>11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>
        <v>3</v>
      </c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49"/>
      <c r="DJ93" s="49"/>
      <c r="DK93" s="49"/>
      <c r="DL93" s="49"/>
      <c r="DM93" s="49"/>
      <c r="DN93" s="49"/>
      <c r="DO93" s="49"/>
      <c r="DP93" s="55">
        <v>4</v>
      </c>
      <c r="DQ93" s="37">
        <v>1</v>
      </c>
      <c r="DR93" s="37">
        <f>PRODUCT(Таблица1[[#This Row],[Столбец4]:[РЕГ НТЛ]])</f>
        <v>4</v>
      </c>
    </row>
    <row r="94" spans="1:122" x14ac:dyDescent="0.25">
      <c r="A94" s="35">
        <v>71</v>
      </c>
      <c r="B94" s="36" t="s">
        <v>293</v>
      </c>
      <c r="C94" s="36" t="s">
        <v>28</v>
      </c>
      <c r="D94" s="36" t="s">
        <v>11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>
        <v>4</v>
      </c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49"/>
      <c r="DJ94" s="49"/>
      <c r="DK94" s="49"/>
      <c r="DL94" s="49"/>
      <c r="DM94" s="49"/>
      <c r="DN94" s="49"/>
      <c r="DO94" s="49"/>
      <c r="DP94" s="55">
        <v>2</v>
      </c>
      <c r="DQ94" s="37">
        <v>1</v>
      </c>
      <c r="DR94" s="37">
        <f>PRODUCT(Таблица1[[#This Row],[Столбец4]:[РЕГ НТЛ]])</f>
        <v>2</v>
      </c>
    </row>
    <row r="95" spans="1:122" x14ac:dyDescent="0.25">
      <c r="A95" s="35">
        <v>65</v>
      </c>
      <c r="B95" s="36" t="s">
        <v>264</v>
      </c>
      <c r="C95" s="36" t="s">
        <v>32</v>
      </c>
      <c r="D95" s="36" t="s">
        <v>146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>
        <v>5</v>
      </c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49"/>
      <c r="DJ95" s="49"/>
      <c r="DK95" s="49"/>
      <c r="DL95" s="49"/>
      <c r="DM95" s="49"/>
      <c r="DN95" s="49"/>
      <c r="DO95" s="49"/>
      <c r="DP95" s="55">
        <v>2</v>
      </c>
      <c r="DQ95" s="37">
        <v>0</v>
      </c>
      <c r="DR95" s="37">
        <f>PRODUCT(Таблица1[[#This Row],[Столбец4]:[РЕГ НТЛ]])</f>
        <v>0</v>
      </c>
    </row>
    <row r="96" spans="1:122" x14ac:dyDescent="0.25">
      <c r="A96" s="35">
        <v>79</v>
      </c>
      <c r="B96" s="36" t="s">
        <v>287</v>
      </c>
      <c r="C96" s="36" t="s">
        <v>28</v>
      </c>
      <c r="D96" s="36" t="s">
        <v>176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>
        <v>6</v>
      </c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49"/>
      <c r="DJ96" s="49"/>
      <c r="DK96" s="49"/>
      <c r="DL96" s="49"/>
      <c r="DM96" s="49"/>
      <c r="DN96" s="49"/>
      <c r="DO96" s="49"/>
      <c r="DP96" s="55">
        <v>2</v>
      </c>
      <c r="DQ96" s="37">
        <v>1</v>
      </c>
      <c r="DR96" s="37">
        <f>PRODUCT(Таблица1[[#This Row],[Столбец4]:[РЕГ НТЛ]])</f>
        <v>2</v>
      </c>
    </row>
    <row r="97" spans="1:122" x14ac:dyDescent="0.25">
      <c r="A97" s="35">
        <v>68</v>
      </c>
      <c r="B97" s="36" t="s">
        <v>325</v>
      </c>
      <c r="C97" s="36" t="s">
        <v>28</v>
      </c>
      <c r="D97" s="36" t="s">
        <v>11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>
        <v>7</v>
      </c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49"/>
      <c r="DJ97" s="49"/>
      <c r="DK97" s="49"/>
      <c r="DL97" s="49"/>
      <c r="DM97" s="49"/>
      <c r="DN97" s="49"/>
      <c r="DO97" s="49"/>
      <c r="DP97" s="55">
        <v>0</v>
      </c>
      <c r="DQ97" s="37">
        <v>1</v>
      </c>
      <c r="DR97" s="37">
        <f>PRODUCT(Таблица1[[#This Row],[Столбец4]:[РЕГ НТЛ]])</f>
        <v>0</v>
      </c>
    </row>
    <row r="98" spans="1:122" x14ac:dyDescent="0.25">
      <c r="A98" s="35">
        <v>61</v>
      </c>
      <c r="B98" s="36" t="s">
        <v>223</v>
      </c>
      <c r="C98" s="36" t="s">
        <v>28</v>
      </c>
      <c r="D98" s="36" t="s">
        <v>11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>
        <v>1</v>
      </c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49"/>
      <c r="DJ98" s="49"/>
      <c r="DK98" s="49"/>
      <c r="DL98" s="49"/>
      <c r="DM98" s="49"/>
      <c r="DN98" s="49"/>
      <c r="DO98" s="49"/>
      <c r="DP98" s="55">
        <v>12</v>
      </c>
      <c r="DQ98" s="37">
        <v>1</v>
      </c>
      <c r="DR98" s="37">
        <f>PRODUCT(Таблица1[[#This Row],[Столбец4]:[РЕГ НТЛ]])</f>
        <v>12</v>
      </c>
    </row>
    <row r="99" spans="1:122" x14ac:dyDescent="0.25">
      <c r="A99" s="35">
        <v>74</v>
      </c>
      <c r="B99" s="36" t="s">
        <v>240</v>
      </c>
      <c r="C99" s="36" t="s">
        <v>28</v>
      </c>
      <c r="D99" s="36" t="s">
        <v>11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>
        <v>2</v>
      </c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49"/>
      <c r="DJ99" s="49"/>
      <c r="DK99" s="49"/>
      <c r="DL99" s="49"/>
      <c r="DM99" s="49"/>
      <c r="DN99" s="49"/>
      <c r="DO99" s="49"/>
      <c r="DP99" s="55">
        <v>8</v>
      </c>
      <c r="DQ99" s="37">
        <v>1</v>
      </c>
      <c r="DR99" s="37">
        <f>PRODUCT(Таблица1[[#This Row],[Столбец4]:[РЕГ НТЛ]])</f>
        <v>8</v>
      </c>
    </row>
    <row r="100" spans="1:122" x14ac:dyDescent="0.25">
      <c r="A100" s="35">
        <v>67</v>
      </c>
      <c r="B100" s="36" t="s">
        <v>224</v>
      </c>
      <c r="C100" s="36" t="s">
        <v>28</v>
      </c>
      <c r="D100" s="36" t="s">
        <v>11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>
        <v>3</v>
      </c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49"/>
      <c r="DJ100" s="49"/>
      <c r="DK100" s="49"/>
      <c r="DL100" s="49"/>
      <c r="DM100" s="49"/>
      <c r="DN100" s="49"/>
      <c r="DO100" s="49"/>
      <c r="DP100" s="55">
        <v>8</v>
      </c>
      <c r="DQ100" s="37">
        <v>1</v>
      </c>
      <c r="DR100" s="37">
        <f>PRODUCT(Таблица1[[#This Row],[Столбец4]:[РЕГ НТЛ]])</f>
        <v>8</v>
      </c>
    </row>
    <row r="101" spans="1:122" x14ac:dyDescent="0.25">
      <c r="A101" s="35">
        <v>85</v>
      </c>
      <c r="B101" s="36" t="s">
        <v>225</v>
      </c>
      <c r="C101" s="36" t="s">
        <v>28</v>
      </c>
      <c r="D101" s="36" t="s">
        <v>11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>
        <v>4</v>
      </c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49"/>
      <c r="DJ101" s="49"/>
      <c r="DK101" s="49"/>
      <c r="DL101" s="49"/>
      <c r="DM101" s="49"/>
      <c r="DN101" s="49"/>
      <c r="DO101" s="49"/>
      <c r="DP101" s="55">
        <v>4</v>
      </c>
      <c r="DQ101" s="37">
        <v>1</v>
      </c>
      <c r="DR101" s="37">
        <f>PRODUCT(Таблица1[[#This Row],[Столбец4]:[РЕГ НТЛ]])</f>
        <v>4</v>
      </c>
    </row>
    <row r="102" spans="1:122" x14ac:dyDescent="0.25">
      <c r="A102" s="35">
        <v>280</v>
      </c>
      <c r="B102" s="36" t="s">
        <v>226</v>
      </c>
      <c r="C102" s="36" t="s">
        <v>92</v>
      </c>
      <c r="D102" s="36" t="s">
        <v>46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>
        <v>5</v>
      </c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49"/>
      <c r="DJ102" s="49"/>
      <c r="DK102" s="49"/>
      <c r="DL102" s="49"/>
      <c r="DM102" s="49"/>
      <c r="DN102" s="49"/>
      <c r="DO102" s="49"/>
      <c r="DP102" s="55">
        <v>4</v>
      </c>
      <c r="DQ102" s="37">
        <v>0</v>
      </c>
      <c r="DR102" s="37">
        <f>PRODUCT(Таблица1[[#This Row],[Столбец4]:[РЕГ НТЛ]])</f>
        <v>0</v>
      </c>
    </row>
    <row r="103" spans="1:122" x14ac:dyDescent="0.25">
      <c r="A103" s="35">
        <v>50</v>
      </c>
      <c r="B103" s="36" t="s">
        <v>292</v>
      </c>
      <c r="C103" s="36" t="s">
        <v>28</v>
      </c>
      <c r="D103" s="36" t="s">
        <v>11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>
        <v>1</v>
      </c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49"/>
      <c r="DJ103" s="49"/>
      <c r="DK103" s="49"/>
      <c r="DL103" s="49"/>
      <c r="DM103" s="49"/>
      <c r="DN103" s="49"/>
      <c r="DO103" s="49"/>
      <c r="DP103" s="55">
        <v>6</v>
      </c>
      <c r="DQ103" s="37">
        <v>1</v>
      </c>
      <c r="DR103" s="37">
        <f>PRODUCT(Таблица1[[#This Row],[Столбец4]:[РЕГ НТЛ]])</f>
        <v>6</v>
      </c>
    </row>
    <row r="104" spans="1:122" x14ac:dyDescent="0.25">
      <c r="A104" s="35">
        <v>70</v>
      </c>
      <c r="B104" s="36" t="s">
        <v>347</v>
      </c>
      <c r="C104" s="36" t="s">
        <v>28</v>
      </c>
      <c r="D104" s="36" t="s">
        <v>11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>
        <v>2</v>
      </c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49"/>
      <c r="DJ104" s="49"/>
      <c r="DK104" s="49"/>
      <c r="DL104" s="49"/>
      <c r="DM104" s="49"/>
      <c r="DN104" s="49"/>
      <c r="DO104" s="49"/>
      <c r="DP104" s="55">
        <v>4</v>
      </c>
      <c r="DQ104" s="37">
        <v>1</v>
      </c>
      <c r="DR104" s="37">
        <f>PRODUCT(Таблица1[[#This Row],[Столбец4]:[РЕГ НТЛ]])</f>
        <v>4</v>
      </c>
    </row>
    <row r="105" spans="1:122" x14ac:dyDescent="0.25">
      <c r="A105" s="35">
        <v>76</v>
      </c>
      <c r="B105" s="36" t="s">
        <v>313</v>
      </c>
      <c r="C105" s="36" t="s">
        <v>28</v>
      </c>
      <c r="D105" s="36" t="s">
        <v>11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>
        <v>3</v>
      </c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49"/>
      <c r="DJ105" s="49"/>
      <c r="DK105" s="49"/>
      <c r="DL105" s="49"/>
      <c r="DM105" s="49"/>
      <c r="DN105" s="49"/>
      <c r="DO105" s="49"/>
      <c r="DP105" s="55">
        <v>4</v>
      </c>
      <c r="DQ105" s="37">
        <v>1</v>
      </c>
      <c r="DR105" s="37">
        <f>PRODUCT(Таблица1[[#This Row],[Столбец4]:[РЕГ НТЛ]])</f>
        <v>4</v>
      </c>
    </row>
    <row r="106" spans="1:122" x14ac:dyDescent="0.25">
      <c r="A106" s="35">
        <v>82</v>
      </c>
      <c r="B106" s="36" t="s">
        <v>308</v>
      </c>
      <c r="C106" s="36" t="s">
        <v>23</v>
      </c>
      <c r="D106" s="36" t="s">
        <v>53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>
        <v>4</v>
      </c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49"/>
      <c r="DJ106" s="49"/>
      <c r="DK106" s="49"/>
      <c r="DL106" s="49"/>
      <c r="DM106" s="49"/>
      <c r="DN106" s="49"/>
      <c r="DO106" s="49"/>
      <c r="DP106" s="55">
        <v>2</v>
      </c>
      <c r="DQ106" s="37">
        <v>1</v>
      </c>
      <c r="DR106" s="37">
        <f>PRODUCT(Таблица1[[#This Row],[Столбец4]:[РЕГ НТЛ]])</f>
        <v>2</v>
      </c>
    </row>
    <row r="107" spans="1:122" x14ac:dyDescent="0.25">
      <c r="A107" s="35">
        <v>63</v>
      </c>
      <c r="B107" s="36" t="s">
        <v>252</v>
      </c>
      <c r="C107" s="36" t="s">
        <v>23</v>
      </c>
      <c r="D107" s="36" t="s">
        <v>134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>
        <v>5</v>
      </c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49"/>
      <c r="DJ107" s="49"/>
      <c r="DK107" s="49"/>
      <c r="DL107" s="49"/>
      <c r="DM107" s="49"/>
      <c r="DN107" s="49"/>
      <c r="DO107" s="49"/>
      <c r="DP107" s="55">
        <v>2</v>
      </c>
      <c r="DQ107" s="37">
        <v>1</v>
      </c>
      <c r="DR107" s="37">
        <f>PRODUCT(Таблица1[[#This Row],[Столбец4]:[РЕГ НТЛ]])</f>
        <v>2</v>
      </c>
    </row>
    <row r="108" spans="1:122" x14ac:dyDescent="0.25">
      <c r="A108" s="35">
        <v>75</v>
      </c>
      <c r="B108" s="36" t="s">
        <v>300</v>
      </c>
      <c r="C108" s="36" t="s">
        <v>23</v>
      </c>
      <c r="D108" s="36" t="s">
        <v>179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>
        <v>6</v>
      </c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49"/>
      <c r="DJ108" s="49"/>
      <c r="DK108" s="49"/>
      <c r="DL108" s="49"/>
      <c r="DM108" s="49"/>
      <c r="DN108" s="49"/>
      <c r="DO108" s="49"/>
      <c r="DP108" s="55">
        <v>2</v>
      </c>
      <c r="DQ108" s="37">
        <v>1</v>
      </c>
      <c r="DR108" s="37">
        <f>PRODUCT(Таблица1[[#This Row],[Столбец4]:[РЕГ НТЛ]])</f>
        <v>2</v>
      </c>
    </row>
    <row r="109" spans="1:122" x14ac:dyDescent="0.25">
      <c r="A109" s="35">
        <v>57</v>
      </c>
      <c r="B109" s="36" t="s">
        <v>219</v>
      </c>
      <c r="C109" s="36" t="s">
        <v>32</v>
      </c>
      <c r="D109" s="36" t="s">
        <v>146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>
        <v>1</v>
      </c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49"/>
      <c r="DJ109" s="49"/>
      <c r="DK109" s="49"/>
      <c r="DL109" s="49"/>
      <c r="DM109" s="49"/>
      <c r="DN109" s="49"/>
      <c r="DO109" s="49"/>
      <c r="DP109" s="55">
        <v>12</v>
      </c>
      <c r="DQ109" s="37">
        <v>0</v>
      </c>
      <c r="DR109" s="37">
        <f>PRODUCT(Таблица1[[#This Row],[Столбец4]:[РЕГ НТЛ]])</f>
        <v>0</v>
      </c>
    </row>
    <row r="110" spans="1:122" x14ac:dyDescent="0.25">
      <c r="A110" s="35">
        <v>278</v>
      </c>
      <c r="B110" s="36" t="s">
        <v>242</v>
      </c>
      <c r="C110" s="36" t="s">
        <v>28</v>
      </c>
      <c r="D110" s="36" t="s">
        <v>11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>
        <v>2</v>
      </c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49"/>
      <c r="DJ110" s="49"/>
      <c r="DK110" s="49"/>
      <c r="DL110" s="49"/>
      <c r="DM110" s="49"/>
      <c r="DN110" s="49"/>
      <c r="DO110" s="49"/>
      <c r="DP110" s="55">
        <v>8</v>
      </c>
      <c r="DQ110" s="37">
        <v>1</v>
      </c>
      <c r="DR110" s="37">
        <f>PRODUCT(Таблица1[[#This Row],[Столбец4]:[РЕГ НТЛ]])</f>
        <v>8</v>
      </c>
    </row>
    <row r="111" spans="1:122" x14ac:dyDescent="0.25">
      <c r="A111" s="35">
        <v>72</v>
      </c>
      <c r="B111" s="36" t="s">
        <v>221</v>
      </c>
      <c r="C111" s="36" t="s">
        <v>23</v>
      </c>
      <c r="D111" s="36" t="s">
        <v>111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>
        <v>3</v>
      </c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49"/>
      <c r="DJ111" s="49"/>
      <c r="DK111" s="49"/>
      <c r="DL111" s="49"/>
      <c r="DM111" s="49"/>
      <c r="DN111" s="49"/>
      <c r="DO111" s="49"/>
      <c r="DP111" s="55">
        <v>8</v>
      </c>
      <c r="DQ111" s="37">
        <v>1</v>
      </c>
      <c r="DR111" s="37">
        <f>PRODUCT(Таблица1[[#This Row],[Столбец4]:[РЕГ НТЛ]])</f>
        <v>8</v>
      </c>
    </row>
    <row r="112" spans="1:122" x14ac:dyDescent="0.25">
      <c r="A112" s="35">
        <v>50</v>
      </c>
      <c r="B112" s="36" t="s">
        <v>292</v>
      </c>
      <c r="C112" s="36" t="s">
        <v>28</v>
      </c>
      <c r="D112" s="36" t="s">
        <v>11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>
        <v>1</v>
      </c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49"/>
      <c r="DJ112" s="49"/>
      <c r="DK112" s="49"/>
      <c r="DL112" s="49"/>
      <c r="DM112" s="49"/>
      <c r="DN112" s="49"/>
      <c r="DO112" s="49"/>
      <c r="DP112" s="55">
        <v>6</v>
      </c>
      <c r="DQ112" s="37">
        <v>1</v>
      </c>
      <c r="DR112" s="37">
        <f>PRODUCT(Таблица1[[#This Row],[Столбец4]:[РЕГ НТЛ]])</f>
        <v>6</v>
      </c>
    </row>
    <row r="113" spans="1:122" x14ac:dyDescent="0.25">
      <c r="A113" s="35">
        <v>76</v>
      </c>
      <c r="B113" s="36" t="s">
        <v>313</v>
      </c>
      <c r="C113" s="36" t="s">
        <v>28</v>
      </c>
      <c r="D113" s="36" t="s">
        <v>11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>
        <v>2</v>
      </c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49"/>
      <c r="DJ113" s="49"/>
      <c r="DK113" s="49"/>
      <c r="DL113" s="49"/>
      <c r="DM113" s="49"/>
      <c r="DN113" s="49"/>
      <c r="DO113" s="49"/>
      <c r="DP113" s="55">
        <v>4</v>
      </c>
      <c r="DQ113" s="37">
        <v>1</v>
      </c>
      <c r="DR113" s="37">
        <f>PRODUCT(Таблица1[[#This Row],[Столбец4]:[РЕГ НТЛ]])</f>
        <v>4</v>
      </c>
    </row>
    <row r="114" spans="1:122" x14ac:dyDescent="0.25">
      <c r="A114" s="35">
        <v>70</v>
      </c>
      <c r="B114" s="36" t="s">
        <v>347</v>
      </c>
      <c r="C114" s="36" t="s">
        <v>28</v>
      </c>
      <c r="D114" s="36" t="s">
        <v>11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>
        <v>3</v>
      </c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49"/>
      <c r="DJ114" s="49"/>
      <c r="DK114" s="49"/>
      <c r="DL114" s="49"/>
      <c r="DM114" s="49"/>
      <c r="DN114" s="49"/>
      <c r="DO114" s="49"/>
      <c r="DP114" s="55">
        <v>4</v>
      </c>
      <c r="DQ114" s="37">
        <v>1</v>
      </c>
      <c r="DR114" s="37">
        <f>PRODUCT(Таблица1[[#This Row],[Столбец4]:[РЕГ НТЛ]])</f>
        <v>4</v>
      </c>
    </row>
    <row r="115" spans="1:122" x14ac:dyDescent="0.25">
      <c r="A115" s="35">
        <v>60</v>
      </c>
      <c r="B115" s="36" t="s">
        <v>340</v>
      </c>
      <c r="C115" s="36" t="s">
        <v>28</v>
      </c>
      <c r="D115" s="36" t="s">
        <v>11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>
        <v>4</v>
      </c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49"/>
      <c r="DJ115" s="49"/>
      <c r="DK115" s="49"/>
      <c r="DL115" s="49"/>
      <c r="DM115" s="49"/>
      <c r="DN115" s="49"/>
      <c r="DO115" s="49"/>
      <c r="DP115" s="55">
        <v>2</v>
      </c>
      <c r="DQ115" s="37">
        <v>1</v>
      </c>
      <c r="DR115" s="37">
        <f>PRODUCT(Таблица1[[#This Row],[Столбец4]:[РЕГ НТЛ]])</f>
        <v>2</v>
      </c>
    </row>
    <row r="116" spans="1:122" x14ac:dyDescent="0.25">
      <c r="A116" s="35">
        <v>48</v>
      </c>
      <c r="B116" s="36" t="s">
        <v>357</v>
      </c>
      <c r="C116" s="36" t="s">
        <v>32</v>
      </c>
      <c r="D116" s="36" t="s">
        <v>146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>
        <v>5</v>
      </c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49"/>
      <c r="DJ116" s="49"/>
      <c r="DK116" s="49"/>
      <c r="DL116" s="49"/>
      <c r="DM116" s="49"/>
      <c r="DN116" s="49"/>
      <c r="DO116" s="49"/>
      <c r="DP116" s="55">
        <v>2</v>
      </c>
      <c r="DQ116" s="37">
        <v>0</v>
      </c>
      <c r="DR116" s="37">
        <f>PRODUCT(Таблица1[[#This Row],[Столбец4]:[РЕГ НТЛ]])</f>
        <v>0</v>
      </c>
    </row>
    <row r="117" spans="1:122" x14ac:dyDescent="0.25">
      <c r="A117" s="35">
        <v>56</v>
      </c>
      <c r="B117" s="36" t="s">
        <v>273</v>
      </c>
      <c r="C117" s="36" t="s">
        <v>32</v>
      </c>
      <c r="D117" s="36" t="s">
        <v>146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>
        <v>6</v>
      </c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49"/>
      <c r="DJ117" s="49"/>
      <c r="DK117" s="49"/>
      <c r="DL117" s="49"/>
      <c r="DM117" s="49"/>
      <c r="DN117" s="49"/>
      <c r="DO117" s="49"/>
      <c r="DP117" s="55">
        <v>2</v>
      </c>
      <c r="DQ117" s="37">
        <v>0</v>
      </c>
      <c r="DR117" s="37">
        <f>PRODUCT(Таблица1[[#This Row],[Столбец4]:[РЕГ НТЛ]])</f>
        <v>0</v>
      </c>
    </row>
    <row r="118" spans="1:122" x14ac:dyDescent="0.25">
      <c r="A118" s="35">
        <v>63</v>
      </c>
      <c r="B118" s="36" t="s">
        <v>252</v>
      </c>
      <c r="C118" s="36" t="s">
        <v>23</v>
      </c>
      <c r="D118" s="36" t="s">
        <v>134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>
        <v>7</v>
      </c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49"/>
      <c r="DJ118" s="49"/>
      <c r="DK118" s="49"/>
      <c r="DL118" s="49"/>
      <c r="DM118" s="49"/>
      <c r="DN118" s="49"/>
      <c r="DO118" s="49"/>
      <c r="DP118" s="55">
        <v>0</v>
      </c>
      <c r="DQ118" s="37">
        <v>1</v>
      </c>
      <c r="DR118" s="37">
        <f>PRODUCT(Таблица1[[#This Row],[Столбец4]:[РЕГ НТЛ]])</f>
        <v>0</v>
      </c>
    </row>
    <row r="119" spans="1:122" x14ac:dyDescent="0.25">
      <c r="A119" s="35">
        <v>53</v>
      </c>
      <c r="B119" s="36" t="s">
        <v>289</v>
      </c>
      <c r="C119" s="36" t="s">
        <v>28</v>
      </c>
      <c r="D119" s="36" t="s">
        <v>176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>
        <v>8</v>
      </c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49"/>
      <c r="DJ119" s="49"/>
      <c r="DK119" s="49"/>
      <c r="DL119" s="49"/>
      <c r="DM119" s="49"/>
      <c r="DN119" s="49"/>
      <c r="DO119" s="49"/>
      <c r="DP119" s="55">
        <v>0</v>
      </c>
      <c r="DQ119" s="37">
        <v>0</v>
      </c>
      <c r="DR119" s="37">
        <f>PRODUCT(Таблица1[[#This Row],[Столбец4]:[РЕГ НТЛ]])</f>
        <v>0</v>
      </c>
    </row>
    <row r="120" spans="1:122" x14ac:dyDescent="0.25">
      <c r="A120" s="35">
        <v>82</v>
      </c>
      <c r="B120" s="36" t="s">
        <v>308</v>
      </c>
      <c r="C120" s="36" t="s">
        <v>23</v>
      </c>
      <c r="D120" s="36" t="s">
        <v>53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>
        <v>9</v>
      </c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49"/>
      <c r="DJ120" s="49"/>
      <c r="DK120" s="49"/>
      <c r="DL120" s="49"/>
      <c r="DM120" s="49"/>
      <c r="DN120" s="49"/>
      <c r="DO120" s="49"/>
      <c r="DP120" s="55">
        <v>0</v>
      </c>
      <c r="DQ120" s="37">
        <v>1</v>
      </c>
      <c r="DR120" s="37">
        <f>PRODUCT(Таблица1[[#This Row],[Столбец4]:[РЕГ НТЛ]])</f>
        <v>0</v>
      </c>
    </row>
    <row r="121" spans="1:122" x14ac:dyDescent="0.25">
      <c r="A121" s="35">
        <v>62</v>
      </c>
      <c r="B121" s="36" t="s">
        <v>338</v>
      </c>
      <c r="C121" s="36" t="s">
        <v>28</v>
      </c>
      <c r="D121" s="36" t="s">
        <v>11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>
        <v>10</v>
      </c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49"/>
      <c r="DJ121" s="49"/>
      <c r="DK121" s="49"/>
      <c r="DL121" s="49"/>
      <c r="DM121" s="49"/>
      <c r="DN121" s="49"/>
      <c r="DO121" s="49"/>
      <c r="DP121" s="55">
        <v>0</v>
      </c>
      <c r="DQ121" s="37">
        <v>0</v>
      </c>
      <c r="DR121" s="37">
        <f>PRODUCT(Таблица1[[#This Row],[Столбец4]:[РЕГ НТЛ]])</f>
        <v>0</v>
      </c>
    </row>
    <row r="122" spans="1:122" x14ac:dyDescent="0.25">
      <c r="A122" s="35">
        <v>65</v>
      </c>
      <c r="B122" s="36" t="s">
        <v>264</v>
      </c>
      <c r="C122" s="36" t="s">
        <v>32</v>
      </c>
      <c r="D122" s="36" t="s">
        <v>146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>
        <v>11</v>
      </c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49"/>
      <c r="DJ122" s="49"/>
      <c r="DK122" s="49"/>
      <c r="DL122" s="49"/>
      <c r="DM122" s="49"/>
      <c r="DN122" s="49"/>
      <c r="DO122" s="49"/>
      <c r="DP122" s="55">
        <v>0</v>
      </c>
      <c r="DQ122" s="37">
        <v>0</v>
      </c>
      <c r="DR122" s="37">
        <f>PRODUCT(Таблица1[[#This Row],[Столбец4]:[РЕГ НТЛ]])</f>
        <v>0</v>
      </c>
    </row>
    <row r="123" spans="1:122" x14ac:dyDescent="0.25">
      <c r="A123" s="35">
        <v>79</v>
      </c>
      <c r="B123" s="36" t="s">
        <v>287</v>
      </c>
      <c r="C123" s="36" t="s">
        <v>28</v>
      </c>
      <c r="D123" s="36" t="s">
        <v>176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 t="s">
        <v>177</v>
      </c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49"/>
      <c r="DJ123" s="49"/>
      <c r="DK123" s="49"/>
      <c r="DL123" s="49"/>
      <c r="DM123" s="49"/>
      <c r="DN123" s="49"/>
      <c r="DO123" s="49"/>
      <c r="DP123" s="55">
        <v>0</v>
      </c>
      <c r="DQ123" s="37">
        <v>1</v>
      </c>
      <c r="DR123" s="37">
        <f>PRODUCT(Таблица1[[#This Row],[Столбец4]:[РЕГ НТЛ]])</f>
        <v>0</v>
      </c>
    </row>
    <row r="124" spans="1:122" x14ac:dyDescent="0.25">
      <c r="A124" s="35">
        <v>71</v>
      </c>
      <c r="B124" s="36" t="s">
        <v>293</v>
      </c>
      <c r="C124" s="36" t="s">
        <v>28</v>
      </c>
      <c r="D124" s="36" t="s">
        <v>11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 t="s">
        <v>177</v>
      </c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49"/>
      <c r="DJ124" s="49"/>
      <c r="DK124" s="49"/>
      <c r="DL124" s="49"/>
      <c r="DM124" s="49"/>
      <c r="DN124" s="49"/>
      <c r="DO124" s="49"/>
      <c r="DP124" s="55">
        <v>0</v>
      </c>
      <c r="DQ124" s="37">
        <v>1</v>
      </c>
      <c r="DR124" s="37">
        <f>PRODUCT(Таблица1[[#This Row],[Столбец4]:[РЕГ НТЛ]])</f>
        <v>0</v>
      </c>
    </row>
    <row r="125" spans="1:122" x14ac:dyDescent="0.25">
      <c r="A125" s="35">
        <v>52</v>
      </c>
      <c r="B125" s="36" t="s">
        <v>302</v>
      </c>
      <c r="C125" s="2" t="s">
        <v>40</v>
      </c>
      <c r="D125" s="36" t="s">
        <v>14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 t="s">
        <v>177</v>
      </c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49"/>
      <c r="DJ125" s="49"/>
      <c r="DK125" s="49"/>
      <c r="DL125" s="49"/>
      <c r="DM125" s="49"/>
      <c r="DN125" s="49"/>
      <c r="DO125" s="49"/>
      <c r="DP125" s="55">
        <v>0</v>
      </c>
      <c r="DQ125" s="37">
        <v>0</v>
      </c>
      <c r="DR125" s="37">
        <f>PRODUCT(Таблица1[[#This Row],[Столбец4]:[РЕГ НТЛ]])</f>
        <v>0</v>
      </c>
    </row>
    <row r="126" spans="1:122" x14ac:dyDescent="0.25">
      <c r="A126" s="35">
        <v>57</v>
      </c>
      <c r="B126" s="36" t="s">
        <v>219</v>
      </c>
      <c r="C126" s="36" t="s">
        <v>32</v>
      </c>
      <c r="D126" s="36" t="s">
        <v>146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>
        <v>1</v>
      </c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49"/>
      <c r="DJ126" s="49"/>
      <c r="DK126" s="49"/>
      <c r="DL126" s="49"/>
      <c r="DM126" s="49"/>
      <c r="DN126" s="49"/>
      <c r="DO126" s="49"/>
      <c r="DP126" s="55">
        <v>12</v>
      </c>
      <c r="DQ126" s="37">
        <v>0</v>
      </c>
      <c r="DR126" s="37">
        <f>PRODUCT(Таблица1[[#This Row],[Столбец4]:[РЕГ НТЛ]])</f>
        <v>0</v>
      </c>
    </row>
    <row r="127" spans="1:122" x14ac:dyDescent="0.25">
      <c r="A127" s="35">
        <v>278</v>
      </c>
      <c r="B127" s="36" t="s">
        <v>242</v>
      </c>
      <c r="C127" s="36" t="s">
        <v>28</v>
      </c>
      <c r="D127" s="36" t="s">
        <v>11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>
        <v>2</v>
      </c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49"/>
      <c r="DJ127" s="49"/>
      <c r="DK127" s="49"/>
      <c r="DL127" s="49"/>
      <c r="DM127" s="49"/>
      <c r="DN127" s="49"/>
      <c r="DO127" s="49"/>
      <c r="DP127" s="55">
        <v>8</v>
      </c>
      <c r="DQ127" s="37">
        <v>1</v>
      </c>
      <c r="DR127" s="37">
        <f>PRODUCT(Таблица1[[#This Row],[Столбец4]:[РЕГ НТЛ]])</f>
        <v>8</v>
      </c>
    </row>
    <row r="128" spans="1:122" x14ac:dyDescent="0.25">
      <c r="A128" s="35">
        <v>74</v>
      </c>
      <c r="B128" s="36" t="s">
        <v>240</v>
      </c>
      <c r="C128" s="36" t="s">
        <v>28</v>
      </c>
      <c r="D128" s="36" t="s">
        <v>11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>
        <v>3</v>
      </c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49"/>
      <c r="DJ128" s="49"/>
      <c r="DK128" s="49"/>
      <c r="DL128" s="49"/>
      <c r="DM128" s="49"/>
      <c r="DN128" s="49"/>
      <c r="DO128" s="49"/>
      <c r="DP128" s="55">
        <v>8</v>
      </c>
      <c r="DQ128" s="37">
        <v>1</v>
      </c>
      <c r="DR128" s="37">
        <f>PRODUCT(Таблица1[[#This Row],[Столбец4]:[РЕГ НТЛ]])</f>
        <v>8</v>
      </c>
    </row>
    <row r="129" spans="1:122" x14ac:dyDescent="0.25">
      <c r="A129" s="35">
        <v>85</v>
      </c>
      <c r="B129" s="36" t="s">
        <v>225</v>
      </c>
      <c r="C129" s="36" t="s">
        <v>28</v>
      </c>
      <c r="D129" s="36" t="s">
        <v>11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>
        <v>4</v>
      </c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49"/>
      <c r="DJ129" s="49"/>
      <c r="DK129" s="49"/>
      <c r="DL129" s="49"/>
      <c r="DM129" s="49"/>
      <c r="DN129" s="49"/>
      <c r="DO129" s="49"/>
      <c r="DP129" s="55">
        <v>4</v>
      </c>
      <c r="DQ129" s="37">
        <v>1</v>
      </c>
      <c r="DR129" s="37">
        <f>PRODUCT(Таблица1[[#This Row],[Столбец4]:[РЕГ НТЛ]])</f>
        <v>4</v>
      </c>
    </row>
    <row r="130" spans="1:122" x14ac:dyDescent="0.25">
      <c r="A130" s="35">
        <v>67</v>
      </c>
      <c r="B130" s="36" t="s">
        <v>224</v>
      </c>
      <c r="C130" s="36" t="s">
        <v>28</v>
      </c>
      <c r="D130" s="36" t="s">
        <v>11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>
        <v>5</v>
      </c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49"/>
      <c r="DJ130" s="49"/>
      <c r="DK130" s="49"/>
      <c r="DL130" s="49"/>
      <c r="DM130" s="49"/>
      <c r="DN130" s="49"/>
      <c r="DO130" s="49"/>
      <c r="DP130" s="55">
        <v>4</v>
      </c>
      <c r="DQ130" s="37">
        <v>1</v>
      </c>
      <c r="DR130" s="37">
        <f>PRODUCT(Таблица1[[#This Row],[Столбец4]:[РЕГ НТЛ]])</f>
        <v>4</v>
      </c>
    </row>
    <row r="131" spans="1:122" x14ac:dyDescent="0.25">
      <c r="A131" s="35">
        <v>72</v>
      </c>
      <c r="B131" s="36" t="s">
        <v>221</v>
      </c>
      <c r="C131" s="36" t="s">
        <v>23</v>
      </c>
      <c r="D131" s="36" t="s">
        <v>111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>
        <v>6</v>
      </c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49"/>
      <c r="DJ131" s="49"/>
      <c r="DK131" s="49"/>
      <c r="DL131" s="49"/>
      <c r="DM131" s="49"/>
      <c r="DN131" s="49"/>
      <c r="DO131" s="49"/>
      <c r="DP131" s="55">
        <v>4</v>
      </c>
      <c r="DQ131" s="37">
        <v>1</v>
      </c>
      <c r="DR131" s="37">
        <f>PRODUCT(Таблица1[[#This Row],[Столбец4]:[РЕГ НТЛ]])</f>
        <v>4</v>
      </c>
    </row>
    <row r="132" spans="1:122" x14ac:dyDescent="0.25">
      <c r="A132" s="35">
        <v>280</v>
      </c>
      <c r="B132" s="36" t="s">
        <v>226</v>
      </c>
      <c r="C132" s="36" t="s">
        <v>92</v>
      </c>
      <c r="D132" s="36" t="s">
        <v>46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>
        <v>7</v>
      </c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49"/>
      <c r="DJ132" s="49"/>
      <c r="DK132" s="49"/>
      <c r="DL132" s="49"/>
      <c r="DM132" s="49"/>
      <c r="DN132" s="49"/>
      <c r="DO132" s="49"/>
      <c r="DP132" s="55">
        <v>0</v>
      </c>
      <c r="DQ132" s="37">
        <v>0</v>
      </c>
      <c r="DR132" s="37">
        <f>PRODUCT(Таблица1[[#This Row],[Столбец4]:[РЕГ НТЛ]])</f>
        <v>0</v>
      </c>
    </row>
    <row r="133" spans="1:122" x14ac:dyDescent="0.25">
      <c r="A133" s="35">
        <v>2</v>
      </c>
      <c r="B133" s="36" t="s">
        <v>329</v>
      </c>
      <c r="C133" s="2" t="s">
        <v>30</v>
      </c>
      <c r="D133" s="36" t="s">
        <v>12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>
        <v>1</v>
      </c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49"/>
      <c r="DJ133" s="49"/>
      <c r="DK133" s="49"/>
      <c r="DL133" s="49"/>
      <c r="DM133" s="49"/>
      <c r="DN133" s="49"/>
      <c r="DO133" s="49"/>
      <c r="DP133" s="55">
        <v>6</v>
      </c>
      <c r="DQ133" s="37">
        <v>0</v>
      </c>
      <c r="DR133" s="37">
        <f>PRODUCT(Таблица1[[#This Row],[Столбец4]:[РЕГ НТЛ]])</f>
        <v>0</v>
      </c>
    </row>
    <row r="134" spans="1:122" x14ac:dyDescent="0.25">
      <c r="A134" s="35">
        <v>36</v>
      </c>
      <c r="B134" s="36" t="s">
        <v>303</v>
      </c>
      <c r="C134" s="2" t="s">
        <v>30</v>
      </c>
      <c r="D134" s="36" t="s">
        <v>12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>
        <v>2</v>
      </c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49"/>
      <c r="DJ134" s="49"/>
      <c r="DK134" s="49"/>
      <c r="DL134" s="49"/>
      <c r="DM134" s="49"/>
      <c r="DN134" s="49"/>
      <c r="DO134" s="49"/>
      <c r="DP134" s="55">
        <v>4</v>
      </c>
      <c r="DQ134" s="37">
        <v>1</v>
      </c>
      <c r="DR134" s="37">
        <f>PRODUCT(Таблица1[[#This Row],[Столбец4]:[РЕГ НТЛ]])</f>
        <v>4</v>
      </c>
    </row>
    <row r="135" spans="1:122" x14ac:dyDescent="0.25">
      <c r="A135" s="35">
        <v>15</v>
      </c>
      <c r="B135" s="36" t="s">
        <v>269</v>
      </c>
      <c r="C135" s="36" t="s">
        <v>23</v>
      </c>
      <c r="D135" s="36" t="s">
        <v>111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>
        <v>3</v>
      </c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49"/>
      <c r="DJ135" s="49"/>
      <c r="DK135" s="49"/>
      <c r="DL135" s="49"/>
      <c r="DM135" s="49"/>
      <c r="DN135" s="49"/>
      <c r="DO135" s="49"/>
      <c r="DP135" s="55">
        <v>4</v>
      </c>
      <c r="DQ135" s="37">
        <v>1</v>
      </c>
      <c r="DR135" s="37">
        <f>PRODUCT(Таблица1[[#This Row],[Столбец4]:[РЕГ НТЛ]])</f>
        <v>4</v>
      </c>
    </row>
    <row r="136" spans="1:122" x14ac:dyDescent="0.25">
      <c r="A136" s="35">
        <v>35</v>
      </c>
      <c r="B136" s="36" t="s">
        <v>341</v>
      </c>
      <c r="C136" s="36" t="s">
        <v>28</v>
      </c>
      <c r="D136" s="36" t="s">
        <v>11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>
        <v>4</v>
      </c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49"/>
      <c r="DJ136" s="49"/>
      <c r="DK136" s="49"/>
      <c r="DL136" s="49"/>
      <c r="DM136" s="49"/>
      <c r="DN136" s="49"/>
      <c r="DO136" s="49"/>
      <c r="DP136" s="55">
        <v>2</v>
      </c>
      <c r="DQ136" s="37">
        <v>1</v>
      </c>
      <c r="DR136" s="37">
        <f>PRODUCT(Таблица1[[#This Row],[Столбец4]:[РЕГ НТЛ]])</f>
        <v>2</v>
      </c>
    </row>
    <row r="137" spans="1:122" x14ac:dyDescent="0.25">
      <c r="A137" s="35">
        <v>25</v>
      </c>
      <c r="B137" s="36" t="s">
        <v>323</v>
      </c>
      <c r="C137" s="2" t="s">
        <v>25</v>
      </c>
      <c r="D137" s="36" t="s">
        <v>13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>
        <v>5</v>
      </c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49"/>
      <c r="DJ137" s="49"/>
      <c r="DK137" s="49"/>
      <c r="DL137" s="49"/>
      <c r="DM137" s="49"/>
      <c r="DN137" s="49"/>
      <c r="DO137" s="49"/>
      <c r="DP137" s="55">
        <v>2</v>
      </c>
      <c r="DQ137" s="37">
        <v>0</v>
      </c>
      <c r="DR137" s="37">
        <f>PRODUCT(Таблица1[[#This Row],[Столбец4]:[РЕГ НТЛ]])</f>
        <v>0</v>
      </c>
    </row>
    <row r="138" spans="1:122" x14ac:dyDescent="0.25">
      <c r="A138" s="35">
        <v>40</v>
      </c>
      <c r="B138" s="36" t="s">
        <v>257</v>
      </c>
      <c r="C138" s="36" t="s">
        <v>28</v>
      </c>
      <c r="D138" s="36" t="s">
        <v>11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>
        <v>6</v>
      </c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49"/>
      <c r="DJ138" s="49"/>
      <c r="DK138" s="49"/>
      <c r="DL138" s="49"/>
      <c r="DM138" s="49"/>
      <c r="DN138" s="49"/>
      <c r="DO138" s="49"/>
      <c r="DP138" s="55">
        <v>2</v>
      </c>
      <c r="DQ138" s="37">
        <v>1</v>
      </c>
      <c r="DR138" s="37">
        <f>PRODUCT(Таблица1[[#This Row],[Столбец4]:[РЕГ НТЛ]])</f>
        <v>2</v>
      </c>
    </row>
    <row r="139" spans="1:122" x14ac:dyDescent="0.25">
      <c r="A139" s="35">
        <v>21</v>
      </c>
      <c r="B139" s="36" t="s">
        <v>253</v>
      </c>
      <c r="C139" s="2" t="s">
        <v>40</v>
      </c>
      <c r="D139" s="36" t="s">
        <v>14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>
        <v>7</v>
      </c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49"/>
      <c r="DJ139" s="49"/>
      <c r="DK139" s="49"/>
      <c r="DL139" s="49"/>
      <c r="DM139" s="49"/>
      <c r="DN139" s="49"/>
      <c r="DO139" s="49"/>
      <c r="DP139" s="55">
        <v>0</v>
      </c>
      <c r="DQ139" s="37">
        <v>0</v>
      </c>
      <c r="DR139" s="37">
        <f>PRODUCT(Таблица1[[#This Row],[Столбец4]:[РЕГ НТЛ]])</f>
        <v>0</v>
      </c>
    </row>
    <row r="140" spans="1:122" x14ac:dyDescent="0.25">
      <c r="A140" s="35">
        <v>47</v>
      </c>
      <c r="B140" s="36" t="s">
        <v>265</v>
      </c>
      <c r="C140" s="2" t="s">
        <v>40</v>
      </c>
      <c r="D140" s="36" t="s">
        <v>14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>
        <v>8</v>
      </c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49"/>
      <c r="DJ140" s="49"/>
      <c r="DK140" s="49"/>
      <c r="DL140" s="49"/>
      <c r="DM140" s="49"/>
      <c r="DN140" s="49"/>
      <c r="DO140" s="49"/>
      <c r="DP140" s="55">
        <v>0</v>
      </c>
      <c r="DQ140" s="37">
        <v>0</v>
      </c>
      <c r="DR140" s="37">
        <f>PRODUCT(Таблица1[[#This Row],[Столбец4]:[РЕГ НТЛ]])</f>
        <v>0</v>
      </c>
    </row>
    <row r="141" spans="1:122" x14ac:dyDescent="0.25">
      <c r="A141" s="35">
        <v>17</v>
      </c>
      <c r="B141" s="36" t="s">
        <v>349</v>
      </c>
      <c r="C141" s="2" t="s">
        <v>25</v>
      </c>
      <c r="D141" s="36" t="s">
        <v>110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>
        <v>9</v>
      </c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49"/>
      <c r="DJ141" s="49"/>
      <c r="DK141" s="49"/>
      <c r="DL141" s="49"/>
      <c r="DM141" s="49"/>
      <c r="DN141" s="49"/>
      <c r="DO141" s="49"/>
      <c r="DP141" s="55">
        <v>0</v>
      </c>
      <c r="DQ141" s="37">
        <v>1</v>
      </c>
      <c r="DR141" s="37">
        <f>PRODUCT(Таблица1[[#This Row],[Столбец4]:[РЕГ НТЛ]])</f>
        <v>0</v>
      </c>
    </row>
    <row r="142" spans="1:122" x14ac:dyDescent="0.25">
      <c r="A142" s="35">
        <v>276</v>
      </c>
      <c r="B142" s="36" t="s">
        <v>316</v>
      </c>
      <c r="C142" s="2" t="s">
        <v>40</v>
      </c>
      <c r="D142" s="36" t="s">
        <v>14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>
        <v>16</v>
      </c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49"/>
      <c r="DJ142" s="49"/>
      <c r="DK142" s="49"/>
      <c r="DL142" s="49"/>
      <c r="DM142" s="49"/>
      <c r="DN142" s="49"/>
      <c r="DO142" s="49"/>
      <c r="DP142" s="55">
        <v>0</v>
      </c>
      <c r="DQ142" s="37">
        <v>0</v>
      </c>
      <c r="DR142" s="37">
        <f>PRODUCT(Таблица1[[#This Row],[Столбец4]:[РЕГ НТЛ]])</f>
        <v>0</v>
      </c>
    </row>
    <row r="143" spans="1:122" x14ac:dyDescent="0.25">
      <c r="A143" s="35">
        <v>14</v>
      </c>
      <c r="B143" s="36" t="s">
        <v>261</v>
      </c>
      <c r="C143" s="2" t="s">
        <v>40</v>
      </c>
      <c r="D143" s="36" t="s">
        <v>14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 t="s">
        <v>73</v>
      </c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49"/>
      <c r="DJ143" s="49"/>
      <c r="DK143" s="49"/>
      <c r="DL143" s="49"/>
      <c r="DM143" s="49"/>
      <c r="DN143" s="49"/>
      <c r="DO143" s="49"/>
      <c r="DP143" s="55">
        <v>0</v>
      </c>
      <c r="DQ143" s="37">
        <v>0</v>
      </c>
      <c r="DR143" s="37">
        <f>PRODUCT(Таблица1[[#This Row],[Столбец4]:[РЕГ НТЛ]])</f>
        <v>0</v>
      </c>
    </row>
    <row r="144" spans="1:122" x14ac:dyDescent="0.25">
      <c r="A144" s="35">
        <v>277</v>
      </c>
      <c r="B144" s="36" t="s">
        <v>276</v>
      </c>
      <c r="C144" s="2" t="s">
        <v>40</v>
      </c>
      <c r="D144" s="36" t="s">
        <v>14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 t="s">
        <v>73</v>
      </c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49"/>
      <c r="DJ144" s="49"/>
      <c r="DK144" s="49"/>
      <c r="DL144" s="49"/>
      <c r="DM144" s="49"/>
      <c r="DN144" s="49"/>
      <c r="DO144" s="49"/>
      <c r="DP144" s="55">
        <v>0</v>
      </c>
      <c r="DQ144" s="37">
        <v>0</v>
      </c>
      <c r="DR144" s="37">
        <f>PRODUCT(Таблица1[[#This Row],[Столбец4]:[РЕГ НТЛ]])</f>
        <v>0</v>
      </c>
    </row>
    <row r="145" spans="1:122" x14ac:dyDescent="0.25">
      <c r="A145" s="35">
        <v>5</v>
      </c>
      <c r="B145" s="36" t="s">
        <v>254</v>
      </c>
      <c r="C145" s="2" t="s">
        <v>30</v>
      </c>
      <c r="D145" s="36" t="s">
        <v>12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 t="s">
        <v>62</v>
      </c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49"/>
      <c r="DJ145" s="49"/>
      <c r="DK145" s="49"/>
      <c r="DL145" s="49"/>
      <c r="DM145" s="49"/>
      <c r="DN145" s="49"/>
      <c r="DO145" s="49"/>
      <c r="DP145" s="55">
        <v>0</v>
      </c>
      <c r="DQ145" s="37">
        <v>1</v>
      </c>
      <c r="DR145" s="37">
        <f>PRODUCT(Таблица1[[#This Row],[Столбец4]:[РЕГ НТЛ]])</f>
        <v>0</v>
      </c>
    </row>
    <row r="146" spans="1:122" x14ac:dyDescent="0.25">
      <c r="A146" s="35">
        <v>275</v>
      </c>
      <c r="B146" s="36" t="s">
        <v>266</v>
      </c>
      <c r="C146" s="36" t="s">
        <v>23</v>
      </c>
      <c r="D146" s="36" t="s">
        <v>134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 t="s">
        <v>62</v>
      </c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49"/>
      <c r="DJ146" s="49"/>
      <c r="DK146" s="49"/>
      <c r="DL146" s="49"/>
      <c r="DM146" s="49"/>
      <c r="DN146" s="49"/>
      <c r="DO146" s="49"/>
      <c r="DP146" s="55">
        <v>0</v>
      </c>
      <c r="DQ146" s="37">
        <v>1</v>
      </c>
      <c r="DR146" s="37">
        <f>PRODUCT(Таблица1[[#This Row],[Столбец4]:[РЕГ НТЛ]])</f>
        <v>0</v>
      </c>
    </row>
    <row r="147" spans="1:122" x14ac:dyDescent="0.25">
      <c r="A147" s="35">
        <v>46</v>
      </c>
      <c r="B147" s="36" t="s">
        <v>283</v>
      </c>
      <c r="C147" s="2" t="s">
        <v>30</v>
      </c>
      <c r="D147" s="36" t="s">
        <v>12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 t="s">
        <v>62</v>
      </c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49"/>
      <c r="DJ147" s="49"/>
      <c r="DK147" s="49"/>
      <c r="DL147" s="49"/>
      <c r="DM147" s="49"/>
      <c r="DN147" s="49"/>
      <c r="DO147" s="49"/>
      <c r="DP147" s="55">
        <v>0</v>
      </c>
      <c r="DQ147" s="37">
        <v>1</v>
      </c>
      <c r="DR147" s="37">
        <f>PRODUCT(Таблица1[[#This Row],[Столбец4]:[РЕГ НТЛ]])</f>
        <v>0</v>
      </c>
    </row>
    <row r="148" spans="1:122" x14ac:dyDescent="0.25">
      <c r="A148" s="35">
        <v>20</v>
      </c>
      <c r="B148" s="36" t="s">
        <v>318</v>
      </c>
      <c r="C148" s="2" t="s">
        <v>40</v>
      </c>
      <c r="D148" s="36" t="s">
        <v>14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 t="s">
        <v>62</v>
      </c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49"/>
      <c r="DJ148" s="49"/>
      <c r="DK148" s="49"/>
      <c r="DL148" s="49"/>
      <c r="DM148" s="49"/>
      <c r="DN148" s="49"/>
      <c r="DO148" s="49"/>
      <c r="DP148" s="55">
        <v>0</v>
      </c>
      <c r="DQ148" s="37">
        <v>0</v>
      </c>
      <c r="DR148" s="37">
        <f>PRODUCT(Таблица1[[#This Row],[Столбец4]:[РЕГ НТЛ]])</f>
        <v>0</v>
      </c>
    </row>
    <row r="149" spans="1:122" x14ac:dyDescent="0.25">
      <c r="A149" s="35">
        <v>41</v>
      </c>
      <c r="B149" s="36" t="s">
        <v>299</v>
      </c>
      <c r="C149" s="36" t="s">
        <v>23</v>
      </c>
      <c r="D149" s="36" t="s">
        <v>133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>
        <v>1</v>
      </c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49"/>
      <c r="DJ149" s="49"/>
      <c r="DK149" s="49"/>
      <c r="DL149" s="49"/>
      <c r="DM149" s="49"/>
      <c r="DN149" s="49"/>
      <c r="DO149" s="49"/>
      <c r="DP149" s="55">
        <v>6</v>
      </c>
      <c r="DQ149" s="37">
        <v>1</v>
      </c>
      <c r="DR149" s="37">
        <f>PRODUCT(Таблица1[[#This Row],[Столбец4]:[РЕГ НТЛ]])</f>
        <v>6</v>
      </c>
    </row>
    <row r="150" spans="1:122" x14ac:dyDescent="0.25">
      <c r="A150" s="35">
        <v>39</v>
      </c>
      <c r="B150" s="36" t="s">
        <v>306</v>
      </c>
      <c r="C150" s="36" t="s">
        <v>28</v>
      </c>
      <c r="D150" s="36" t="s">
        <v>11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>
        <v>2</v>
      </c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49"/>
      <c r="DJ150" s="49"/>
      <c r="DK150" s="49"/>
      <c r="DL150" s="49"/>
      <c r="DM150" s="49"/>
      <c r="DN150" s="49"/>
      <c r="DO150" s="49"/>
      <c r="DP150" s="55">
        <v>4</v>
      </c>
      <c r="DQ150" s="37">
        <v>1</v>
      </c>
      <c r="DR150" s="37">
        <f>PRODUCT(Таблица1[[#This Row],[Столбец4]:[РЕГ НТЛ]])</f>
        <v>4</v>
      </c>
    </row>
    <row r="151" spans="1:122" x14ac:dyDescent="0.25">
      <c r="A151" s="35">
        <v>6</v>
      </c>
      <c r="B151" s="36" t="s">
        <v>327</v>
      </c>
      <c r="C151" s="36" t="s">
        <v>23</v>
      </c>
      <c r="D151" s="36" t="s">
        <v>114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>
        <v>3</v>
      </c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49"/>
      <c r="DJ151" s="49"/>
      <c r="DK151" s="49"/>
      <c r="DL151" s="49"/>
      <c r="DM151" s="49"/>
      <c r="DN151" s="49"/>
      <c r="DO151" s="49"/>
      <c r="DP151" s="55">
        <v>4</v>
      </c>
      <c r="DQ151" s="37">
        <v>1</v>
      </c>
      <c r="DR151" s="37">
        <f>PRODUCT(Таблица1[[#This Row],[Столбец4]:[РЕГ НТЛ]])</f>
        <v>4</v>
      </c>
    </row>
    <row r="152" spans="1:122" x14ac:dyDescent="0.25">
      <c r="A152" s="35">
        <v>20</v>
      </c>
      <c r="B152" s="36" t="s">
        <v>318</v>
      </c>
      <c r="C152" s="2" t="s">
        <v>40</v>
      </c>
      <c r="D152" s="36" t="s">
        <v>14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>
        <v>4</v>
      </c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9"/>
      <c r="BD152" s="39"/>
      <c r="BE152" s="39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49"/>
      <c r="DJ152" s="51"/>
      <c r="DK152" s="51"/>
      <c r="DL152" s="51"/>
      <c r="DM152" s="51"/>
      <c r="DN152" s="51"/>
      <c r="DO152" s="51"/>
      <c r="DP152" s="55">
        <v>2</v>
      </c>
      <c r="DQ152" s="40">
        <v>0</v>
      </c>
      <c r="DR152" s="40">
        <f>PRODUCT(Таблица1[[#This Row],[Столбец4]:[РЕГ НТЛ]])</f>
        <v>0</v>
      </c>
    </row>
    <row r="153" spans="1:122" x14ac:dyDescent="0.25">
      <c r="A153" s="35">
        <v>32</v>
      </c>
      <c r="B153" s="36" t="s">
        <v>354</v>
      </c>
      <c r="C153" s="36" t="s">
        <v>28</v>
      </c>
      <c r="D153" s="36" t="s">
        <v>11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>
        <v>5</v>
      </c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55">
        <v>2</v>
      </c>
      <c r="DQ153" s="37">
        <v>1</v>
      </c>
      <c r="DR153" s="37">
        <f>PRODUCT(Таблица1[[#This Row],[Столбец4]:[РЕГ НТЛ]])</f>
        <v>2</v>
      </c>
    </row>
    <row r="154" spans="1:122" x14ac:dyDescent="0.25">
      <c r="A154" s="35">
        <v>34</v>
      </c>
      <c r="B154" s="36" t="s">
        <v>335</v>
      </c>
      <c r="C154" s="36" t="s">
        <v>23</v>
      </c>
      <c r="D154" s="36" t="s">
        <v>134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>
        <v>6</v>
      </c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55">
        <v>2</v>
      </c>
      <c r="DQ154" s="37">
        <v>1</v>
      </c>
      <c r="DR154" s="37">
        <f>PRODUCT(Таблица1[[#This Row],[Столбец4]:[РЕГ НТЛ]])</f>
        <v>2</v>
      </c>
    </row>
    <row r="155" spans="1:122" x14ac:dyDescent="0.25">
      <c r="A155" s="35">
        <v>3</v>
      </c>
      <c r="B155" s="36" t="s">
        <v>351</v>
      </c>
      <c r="C155" s="2" t="s">
        <v>40</v>
      </c>
      <c r="D155" s="36" t="s">
        <v>14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>
        <v>10</v>
      </c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56">
        <v>0</v>
      </c>
      <c r="DQ155" s="37">
        <v>0</v>
      </c>
      <c r="DR155" s="37">
        <f>PRODUCT(Таблица1[[#This Row],[Столбец4]:[РЕГ НТЛ]])</f>
        <v>0</v>
      </c>
    </row>
    <row r="156" spans="1:122" x14ac:dyDescent="0.25">
      <c r="A156" s="35">
        <v>24</v>
      </c>
      <c r="B156" s="36" t="s">
        <v>337</v>
      </c>
      <c r="C156" s="2" t="s">
        <v>127</v>
      </c>
      <c r="D156" s="36" t="s">
        <v>135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>
        <v>11</v>
      </c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56">
        <v>0</v>
      </c>
      <c r="DQ156" s="37">
        <v>0</v>
      </c>
      <c r="DR156" s="37">
        <f>PRODUCT(Таблица1[[#This Row],[Столбец4]:[РЕГ НТЛ]])</f>
        <v>0</v>
      </c>
    </row>
    <row r="157" spans="1:122" x14ac:dyDescent="0.25">
      <c r="A157" s="35">
        <v>1</v>
      </c>
      <c r="B157" s="36" t="s">
        <v>332</v>
      </c>
      <c r="C157" s="2" t="s">
        <v>127</v>
      </c>
      <c r="D157" s="36" t="s">
        <v>138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 t="s">
        <v>90</v>
      </c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55">
        <v>0</v>
      </c>
      <c r="DQ157" s="37">
        <v>0</v>
      </c>
      <c r="DR157" s="37">
        <f>PRODUCT(Таблица1[[#This Row],[Столбец4]:[РЕГ НТЛ]])</f>
        <v>0</v>
      </c>
    </row>
    <row r="158" spans="1:122" x14ac:dyDescent="0.25">
      <c r="A158" s="35">
        <v>12</v>
      </c>
      <c r="B158" s="36" t="s">
        <v>360</v>
      </c>
      <c r="C158" s="2" t="s">
        <v>127</v>
      </c>
      <c r="D158" s="36" t="s">
        <v>135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 t="s">
        <v>90</v>
      </c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55">
        <v>0</v>
      </c>
      <c r="DQ158" s="37">
        <v>0</v>
      </c>
      <c r="DR158" s="37">
        <f>PRODUCT(Таблица1[[#This Row],[Столбец4]:[РЕГ НТЛ]])</f>
        <v>0</v>
      </c>
    </row>
    <row r="159" spans="1:122" x14ac:dyDescent="0.25">
      <c r="A159" s="35">
        <v>30</v>
      </c>
      <c r="B159" s="36" t="s">
        <v>272</v>
      </c>
      <c r="C159" s="2" t="s">
        <v>131</v>
      </c>
      <c r="D159" s="36" t="s">
        <v>115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 t="s">
        <v>142</v>
      </c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56">
        <v>0</v>
      </c>
      <c r="DQ159" s="37">
        <v>0</v>
      </c>
      <c r="DR159" s="37">
        <f>PRODUCT(Таблица1[[#This Row],[Столбец4]:[РЕГ НТЛ]])</f>
        <v>0</v>
      </c>
    </row>
    <row r="160" spans="1:122" x14ac:dyDescent="0.25">
      <c r="A160" s="35">
        <v>18</v>
      </c>
      <c r="B160" s="36" t="s">
        <v>317</v>
      </c>
      <c r="C160" s="2" t="s">
        <v>30</v>
      </c>
      <c r="D160" s="36" t="s">
        <v>12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 t="s">
        <v>142</v>
      </c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56">
        <v>0</v>
      </c>
      <c r="DQ160" s="37">
        <v>1</v>
      </c>
      <c r="DR160" s="37">
        <f>PRODUCT(Таблица1[[#This Row],[Столбец4]:[РЕГ НТЛ]])</f>
        <v>0</v>
      </c>
    </row>
    <row r="161" spans="1:122" x14ac:dyDescent="0.25">
      <c r="A161" s="35">
        <v>28</v>
      </c>
      <c r="B161" s="36" t="s">
        <v>333</v>
      </c>
      <c r="C161" s="36" t="s">
        <v>23</v>
      </c>
      <c r="D161" s="36" t="s">
        <v>134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 t="s">
        <v>142</v>
      </c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56">
        <v>0</v>
      </c>
      <c r="DQ161" s="37">
        <v>1</v>
      </c>
      <c r="DR161" s="37">
        <f>PRODUCT(Таблица1[[#This Row],[Столбец4]:[РЕГ НТЛ]])</f>
        <v>0</v>
      </c>
    </row>
    <row r="162" spans="1:122" x14ac:dyDescent="0.25">
      <c r="A162" s="10">
        <v>36</v>
      </c>
      <c r="B162" s="2" t="s">
        <v>303</v>
      </c>
      <c r="C162" s="2" t="s">
        <v>30</v>
      </c>
      <c r="D162" s="2" t="s">
        <v>12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>
        <v>1</v>
      </c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1"/>
      <c r="AR162" s="1"/>
      <c r="AS162" s="1"/>
      <c r="AT162" s="1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14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57">
        <v>6</v>
      </c>
      <c r="DQ162" s="23">
        <v>1</v>
      </c>
      <c r="DR162" s="23">
        <f>PRODUCT(Таблица1[[#This Row],[Столбец4]:[РЕГ НТЛ]])</f>
        <v>6</v>
      </c>
    </row>
    <row r="163" spans="1:122" x14ac:dyDescent="0.25">
      <c r="A163" s="10">
        <v>2</v>
      </c>
      <c r="B163" s="2" t="s">
        <v>329</v>
      </c>
      <c r="C163" s="2" t="s">
        <v>30</v>
      </c>
      <c r="D163" s="2" t="s">
        <v>12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>
        <v>2</v>
      </c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1"/>
      <c r="AR163" s="1"/>
      <c r="AS163" s="1"/>
      <c r="AT163" s="1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14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57">
        <v>4</v>
      </c>
      <c r="DQ163" s="23">
        <v>0</v>
      </c>
      <c r="DR163" s="23">
        <f>PRODUCT(Таблица1[[#This Row],[Столбец4]:[РЕГ НТЛ]])</f>
        <v>0</v>
      </c>
    </row>
    <row r="164" spans="1:122" x14ac:dyDescent="0.25">
      <c r="A164" s="10">
        <v>17</v>
      </c>
      <c r="B164" s="2" t="s">
        <v>349</v>
      </c>
      <c r="C164" s="2" t="s">
        <v>25</v>
      </c>
      <c r="D164" s="2" t="s">
        <v>110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>
        <v>3</v>
      </c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1"/>
      <c r="AR164" s="1"/>
      <c r="AS164" s="1"/>
      <c r="AT164" s="1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15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57">
        <v>4</v>
      </c>
      <c r="DQ164" s="23">
        <v>1</v>
      </c>
      <c r="DR164" s="23">
        <f>PRODUCT(Таблица1[[#This Row],[Столбец4]:[РЕГ НТЛ]])</f>
        <v>4</v>
      </c>
    </row>
    <row r="165" spans="1:122" x14ac:dyDescent="0.25">
      <c r="A165" s="10">
        <v>25</v>
      </c>
      <c r="B165" s="2" t="s">
        <v>323</v>
      </c>
      <c r="C165" s="2" t="s">
        <v>25</v>
      </c>
      <c r="D165" s="2" t="s">
        <v>13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>
        <v>4</v>
      </c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57">
        <v>2</v>
      </c>
      <c r="DQ165" s="23">
        <v>0</v>
      </c>
      <c r="DR165" s="23">
        <f>PRODUCT(Таблица1[[#This Row],[Столбец4]:[РЕГ НТЛ]])</f>
        <v>0</v>
      </c>
    </row>
    <row r="166" spans="1:122" x14ac:dyDescent="0.25">
      <c r="A166" s="10">
        <v>35</v>
      </c>
      <c r="B166" s="2" t="s">
        <v>341</v>
      </c>
      <c r="C166" s="2" t="s">
        <v>28</v>
      </c>
      <c r="D166" s="2" t="s">
        <v>11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>
        <v>5</v>
      </c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57">
        <v>2</v>
      </c>
      <c r="DQ166" s="23">
        <v>1</v>
      </c>
      <c r="DR166" s="23">
        <f>PRODUCT(Таблица1[[#This Row],[Столбец4]:[РЕГ НТЛ]])</f>
        <v>2</v>
      </c>
    </row>
    <row r="167" spans="1:122" x14ac:dyDescent="0.25">
      <c r="A167" s="38">
        <v>46</v>
      </c>
      <c r="B167" s="36" t="s">
        <v>283</v>
      </c>
      <c r="C167" s="19" t="s">
        <v>30</v>
      </c>
      <c r="D167" s="39" t="s">
        <v>12</v>
      </c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>
        <v>6</v>
      </c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58">
        <v>2</v>
      </c>
      <c r="DQ167" s="40">
        <v>1</v>
      </c>
      <c r="DR167" s="40">
        <f>PRODUCT(Таблица1[[#This Row],[Столбец4]:[РЕГ НТЛ]])</f>
        <v>2</v>
      </c>
    </row>
    <row r="168" spans="1:122" x14ac:dyDescent="0.25">
      <c r="A168" s="35">
        <v>13</v>
      </c>
      <c r="B168" s="36" t="s">
        <v>281</v>
      </c>
      <c r="C168" s="36" t="s">
        <v>23</v>
      </c>
      <c r="D168" s="36" t="s">
        <v>136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>
        <v>7</v>
      </c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56">
        <v>0</v>
      </c>
      <c r="DQ168" s="37">
        <v>0</v>
      </c>
      <c r="DR168" s="37">
        <f>PRODUCT(Таблица1[[#This Row],[Столбец4]:[РЕГ НТЛ]])</f>
        <v>0</v>
      </c>
    </row>
    <row r="169" spans="1:122" x14ac:dyDescent="0.25">
      <c r="A169" s="44">
        <v>2</v>
      </c>
      <c r="B169" s="19" t="s">
        <v>329</v>
      </c>
      <c r="C169" s="19" t="s">
        <v>30</v>
      </c>
      <c r="D169" s="19" t="s">
        <v>12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>
        <v>1</v>
      </c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59">
        <v>6</v>
      </c>
      <c r="DQ169" s="24">
        <v>0</v>
      </c>
      <c r="DR169" s="24">
        <f>PRODUCT(Таблица1[[#This Row],[Столбец4]:[РЕГ НТЛ]])</f>
        <v>0</v>
      </c>
    </row>
    <row r="170" spans="1:122" x14ac:dyDescent="0.25">
      <c r="A170" s="10">
        <v>40</v>
      </c>
      <c r="B170" s="2" t="s">
        <v>257</v>
      </c>
      <c r="C170" s="2" t="s">
        <v>28</v>
      </c>
      <c r="D170" s="2" t="s">
        <v>11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>
        <v>2</v>
      </c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54">
        <v>4</v>
      </c>
      <c r="DQ170" s="23">
        <v>1</v>
      </c>
      <c r="DR170" s="23">
        <f>PRODUCT(Таблица1[[#This Row],[Столбец4]:[РЕГ НТЛ]])</f>
        <v>4</v>
      </c>
    </row>
    <row r="171" spans="1:122" x14ac:dyDescent="0.25">
      <c r="A171" s="10">
        <v>35</v>
      </c>
      <c r="B171" s="2" t="s">
        <v>341</v>
      </c>
      <c r="C171" s="2" t="s">
        <v>28</v>
      </c>
      <c r="D171" s="2" t="s">
        <v>11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>
        <v>3</v>
      </c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54">
        <v>4</v>
      </c>
      <c r="DQ171" s="23">
        <v>1</v>
      </c>
      <c r="DR171" s="23">
        <f>PRODUCT(Таблица1[[#This Row],[Столбец4]:[РЕГ НТЛ]])</f>
        <v>4</v>
      </c>
    </row>
    <row r="172" spans="1:122" x14ac:dyDescent="0.25">
      <c r="A172" s="10">
        <v>45</v>
      </c>
      <c r="B172" s="2" t="s">
        <v>355</v>
      </c>
      <c r="C172" s="2" t="s">
        <v>28</v>
      </c>
      <c r="D172" s="2" t="s">
        <v>11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>
        <v>4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54">
        <v>2</v>
      </c>
      <c r="DQ172" s="23">
        <v>1</v>
      </c>
      <c r="DR172" s="23">
        <f>PRODUCT(Таблица1[[#This Row],[Столбец4]:[РЕГ НТЛ]])</f>
        <v>2</v>
      </c>
    </row>
    <row r="173" spans="1:122" x14ac:dyDescent="0.25">
      <c r="A173" s="10">
        <v>25</v>
      </c>
      <c r="B173" s="2" t="s">
        <v>323</v>
      </c>
      <c r="C173" s="2" t="s">
        <v>25</v>
      </c>
      <c r="D173" s="2" t="s">
        <v>13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>
        <v>5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57">
        <v>2</v>
      </c>
      <c r="DQ173" s="23">
        <v>0</v>
      </c>
      <c r="DR173" s="23">
        <f>PRODUCT(Таблица1[[#This Row],[Столбец4]:[РЕГ НТЛ]])</f>
        <v>0</v>
      </c>
    </row>
    <row r="174" spans="1:122" x14ac:dyDescent="0.25">
      <c r="A174" s="10">
        <v>38</v>
      </c>
      <c r="B174" s="2" t="s">
        <v>324</v>
      </c>
      <c r="C174" s="2" t="s">
        <v>30</v>
      </c>
      <c r="D174" s="2" t="s">
        <v>12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>
        <v>6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54">
        <v>2</v>
      </c>
      <c r="DQ174" s="23">
        <v>1</v>
      </c>
      <c r="DR174" s="23">
        <f>PRODUCT(Таблица1[[#This Row],[Столбец4]:[РЕГ НТЛ]])</f>
        <v>2</v>
      </c>
    </row>
    <row r="175" spans="1:122" x14ac:dyDescent="0.25">
      <c r="A175" s="10">
        <v>46</v>
      </c>
      <c r="B175" s="2" t="s">
        <v>283</v>
      </c>
      <c r="C175" s="2" t="s">
        <v>30</v>
      </c>
      <c r="D175" s="2" t="s">
        <v>12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>
        <v>7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55">
        <v>0</v>
      </c>
      <c r="DQ175" s="23">
        <v>1</v>
      </c>
      <c r="DR175" s="23">
        <f>PRODUCT(Таблица1[[#This Row],[Столбец4]:[РЕГ НТЛ]])</f>
        <v>0</v>
      </c>
    </row>
    <row r="176" spans="1:122" x14ac:dyDescent="0.25">
      <c r="A176" s="10">
        <v>27</v>
      </c>
      <c r="B176" s="2" t="s">
        <v>284</v>
      </c>
      <c r="C176" s="36" t="s">
        <v>23</v>
      </c>
      <c r="D176" s="2" t="s">
        <v>133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>
        <v>8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55">
        <v>0</v>
      </c>
      <c r="DQ176" s="23">
        <v>1</v>
      </c>
      <c r="DR176" s="23">
        <f>PRODUCT(Таблица1[[#This Row],[Столбец4]:[РЕГ НТЛ]])</f>
        <v>0</v>
      </c>
    </row>
    <row r="177" spans="1:122" x14ac:dyDescent="0.25">
      <c r="A177" s="10">
        <v>21</v>
      </c>
      <c r="B177" s="2" t="s">
        <v>253</v>
      </c>
      <c r="C177" s="2" t="s">
        <v>40</v>
      </c>
      <c r="D177" s="2" t="s">
        <v>14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 t="s">
        <v>90</v>
      </c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55">
        <v>0</v>
      </c>
      <c r="DQ177" s="37">
        <v>0</v>
      </c>
      <c r="DR177" s="23">
        <f>PRODUCT(Таблица1[[#This Row],[Столбец4]:[РЕГ НТЛ]])</f>
        <v>0</v>
      </c>
    </row>
    <row r="178" spans="1:122" x14ac:dyDescent="0.25">
      <c r="A178" s="10">
        <v>47</v>
      </c>
      <c r="B178" s="2" t="s">
        <v>265</v>
      </c>
      <c r="C178" s="2" t="s">
        <v>40</v>
      </c>
      <c r="D178" s="2" t="s">
        <v>14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 t="s">
        <v>90</v>
      </c>
      <c r="Z178" s="2"/>
      <c r="AA178" s="2"/>
      <c r="AB178" s="2"/>
      <c r="AC178" s="2"/>
      <c r="AD178" s="2"/>
      <c r="AE178" s="2"/>
      <c r="AF178" s="2"/>
      <c r="AG178" s="1"/>
      <c r="AH178" s="1"/>
      <c r="AI178" s="1"/>
      <c r="AJ178" s="1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14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56">
        <v>0</v>
      </c>
      <c r="DQ178" s="37">
        <v>0</v>
      </c>
      <c r="DR178" s="23">
        <f>PRODUCT(Таблица1[[#This Row],[Столбец4]:[РЕГ НТЛ]])</f>
        <v>0</v>
      </c>
    </row>
    <row r="179" spans="1:122" x14ac:dyDescent="0.25">
      <c r="A179" s="10">
        <v>276</v>
      </c>
      <c r="B179" s="2" t="s">
        <v>316</v>
      </c>
      <c r="C179" s="2" t="s">
        <v>40</v>
      </c>
      <c r="D179" s="2" t="s">
        <v>14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 t="s">
        <v>139</v>
      </c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1"/>
      <c r="AR179" s="1"/>
      <c r="AS179" s="1"/>
      <c r="AT179" s="1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15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56">
        <v>0</v>
      </c>
      <c r="DQ179" s="37">
        <v>0</v>
      </c>
      <c r="DR179" s="23">
        <f>PRODUCT(Таблица1[[#This Row],[Столбец4]:[РЕГ НТЛ]])</f>
        <v>0</v>
      </c>
    </row>
    <row r="180" spans="1:122" x14ac:dyDescent="0.25">
      <c r="A180" s="10">
        <v>29</v>
      </c>
      <c r="B180" s="2" t="s">
        <v>343</v>
      </c>
      <c r="C180" s="2" t="s">
        <v>28</v>
      </c>
      <c r="D180" s="2" t="s">
        <v>11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 t="s">
        <v>139</v>
      </c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56">
        <v>0</v>
      </c>
      <c r="DQ180" s="23">
        <v>1</v>
      </c>
      <c r="DR180" s="23">
        <f>PRODUCT(Таблица1[[#This Row],[Столбец4]:[РЕГ НТЛ]])</f>
        <v>0</v>
      </c>
    </row>
    <row r="181" spans="1:122" x14ac:dyDescent="0.25">
      <c r="A181" s="10">
        <v>5</v>
      </c>
      <c r="B181" s="2" t="s">
        <v>254</v>
      </c>
      <c r="C181" s="2" t="s">
        <v>30</v>
      </c>
      <c r="D181" s="2" t="s">
        <v>12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 t="s">
        <v>86</v>
      </c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56">
        <v>0</v>
      </c>
      <c r="DQ181" s="23">
        <v>1</v>
      </c>
      <c r="DR181" s="23">
        <f>PRODUCT(Таблица1[[#This Row],[Столбец4]:[РЕГ НТЛ]])</f>
        <v>0</v>
      </c>
    </row>
    <row r="182" spans="1:122" x14ac:dyDescent="0.25">
      <c r="A182" s="10">
        <v>20</v>
      </c>
      <c r="B182" s="2" t="s">
        <v>318</v>
      </c>
      <c r="C182" s="2" t="s">
        <v>40</v>
      </c>
      <c r="D182" s="2" t="s">
        <v>14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1"/>
      <c r="X182" s="1"/>
      <c r="Y182" s="1" t="s">
        <v>86</v>
      </c>
      <c r="Z182" s="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55">
        <v>0</v>
      </c>
      <c r="DQ182" s="37">
        <v>0</v>
      </c>
      <c r="DR182" s="23">
        <f>PRODUCT(Таблица1[[#This Row],[Столбец4]:[РЕГ НТЛ]])</f>
        <v>0</v>
      </c>
    </row>
    <row r="183" spans="1:122" x14ac:dyDescent="0.25">
      <c r="A183" s="10">
        <v>43</v>
      </c>
      <c r="B183" s="2" t="s">
        <v>319</v>
      </c>
      <c r="C183" s="2" t="s">
        <v>28</v>
      </c>
      <c r="D183" s="2" t="s">
        <v>11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 t="s">
        <v>86</v>
      </c>
      <c r="Z183" s="2"/>
      <c r="AA183" s="2"/>
      <c r="AB183" s="2"/>
      <c r="AC183" s="2"/>
      <c r="AD183" s="2"/>
      <c r="AE183" s="2"/>
      <c r="AF183" s="2"/>
      <c r="AG183" s="1"/>
      <c r="AH183" s="1"/>
      <c r="AI183" s="1"/>
      <c r="AJ183" s="1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14"/>
      <c r="CM183" s="2"/>
      <c r="CN183" s="2"/>
      <c r="CO183" s="2"/>
      <c r="CP183" s="2"/>
      <c r="CQ183" s="14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56">
        <v>0</v>
      </c>
      <c r="DQ183" s="23">
        <v>1</v>
      </c>
      <c r="DR183" s="23">
        <f>PRODUCT(Таблица1[[#This Row],[Столбец4]:[РЕГ НТЛ]])</f>
        <v>0</v>
      </c>
    </row>
    <row r="184" spans="1:122" x14ac:dyDescent="0.25">
      <c r="A184" s="10">
        <v>45</v>
      </c>
      <c r="B184" s="2" t="s">
        <v>218</v>
      </c>
      <c r="C184" s="2" t="s">
        <v>28</v>
      </c>
      <c r="D184" s="2" t="s">
        <v>11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>
        <v>1</v>
      </c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57">
        <v>12</v>
      </c>
      <c r="DQ184" s="23">
        <v>1</v>
      </c>
      <c r="DR184" s="23">
        <f>PRODUCT(Таблица1[[#This Row],[Столбец4]:[РЕГ НТЛ]])</f>
        <v>12</v>
      </c>
    </row>
    <row r="185" spans="1:122" x14ac:dyDescent="0.25">
      <c r="A185" s="44">
        <v>21</v>
      </c>
      <c r="B185" s="19" t="s">
        <v>215</v>
      </c>
      <c r="C185" s="19" t="s">
        <v>40</v>
      </c>
      <c r="D185" s="19" t="s">
        <v>14</v>
      </c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>
        <v>2</v>
      </c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59">
        <v>8</v>
      </c>
      <c r="DQ185" s="40">
        <v>0</v>
      </c>
      <c r="DR185" s="24">
        <f>PRODUCT(Таблица1[[#This Row],[Столбец4]:[РЕГ НТЛ]])</f>
        <v>0</v>
      </c>
    </row>
    <row r="186" spans="1:122" x14ac:dyDescent="0.25">
      <c r="A186" s="10">
        <v>34</v>
      </c>
      <c r="B186" s="2" t="s">
        <v>216</v>
      </c>
      <c r="C186" s="36" t="s">
        <v>23</v>
      </c>
      <c r="D186" s="2" t="s">
        <v>134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>
        <v>3</v>
      </c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57">
        <v>8</v>
      </c>
      <c r="DQ186" s="23">
        <v>1</v>
      </c>
      <c r="DR186" s="23">
        <f>PRODUCT(Таблица1[[#This Row],[Столбец4]:[РЕГ НТЛ]])</f>
        <v>8</v>
      </c>
    </row>
    <row r="187" spans="1:122" x14ac:dyDescent="0.25">
      <c r="A187" s="10">
        <v>39</v>
      </c>
      <c r="B187" s="2" t="s">
        <v>306</v>
      </c>
      <c r="C187" s="2" t="s">
        <v>28</v>
      </c>
      <c r="D187" s="2" t="s">
        <v>11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>
        <v>1</v>
      </c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1"/>
      <c r="AR187" s="1"/>
      <c r="AS187" s="1"/>
      <c r="AT187" s="1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54">
        <v>6</v>
      </c>
      <c r="DQ187" s="23">
        <v>1</v>
      </c>
      <c r="DR187" s="23">
        <f>PRODUCT(Таблица1[[#This Row],[Столбец4]:[РЕГ НТЛ]])</f>
        <v>6</v>
      </c>
    </row>
    <row r="188" spans="1:122" x14ac:dyDescent="0.25">
      <c r="A188" s="10">
        <v>18</v>
      </c>
      <c r="B188" s="2" t="s">
        <v>317</v>
      </c>
      <c r="C188" s="2" t="s">
        <v>30</v>
      </c>
      <c r="D188" s="2" t="s">
        <v>12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>
        <v>2</v>
      </c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54">
        <v>4</v>
      </c>
      <c r="DQ188" s="23">
        <v>1</v>
      </c>
      <c r="DR188" s="23">
        <f>PRODUCT(Таблица1[[#This Row],[Столбец4]:[РЕГ НТЛ]])</f>
        <v>4</v>
      </c>
    </row>
    <row r="189" spans="1:122" x14ac:dyDescent="0.25">
      <c r="A189" s="10">
        <v>41</v>
      </c>
      <c r="B189" s="2" t="s">
        <v>299</v>
      </c>
      <c r="C189" s="36" t="s">
        <v>23</v>
      </c>
      <c r="D189" s="2" t="s">
        <v>133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>
        <v>3</v>
      </c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57">
        <v>4</v>
      </c>
      <c r="DQ189" s="23">
        <v>1</v>
      </c>
      <c r="DR189" s="23">
        <f>PRODUCT(Таблица1[[#This Row],[Столбец4]:[РЕГ НТЛ]])</f>
        <v>4</v>
      </c>
    </row>
    <row r="190" spans="1:122" x14ac:dyDescent="0.25">
      <c r="A190" s="10">
        <v>20</v>
      </c>
      <c r="B190" s="2" t="s">
        <v>318</v>
      </c>
      <c r="C190" s="2" t="s">
        <v>40</v>
      </c>
      <c r="D190" s="2" t="s">
        <v>14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>
        <v>4</v>
      </c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1"/>
      <c r="AR190" s="1"/>
      <c r="AS190" s="1"/>
      <c r="AT190" s="1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57">
        <v>2</v>
      </c>
      <c r="DQ190" s="37">
        <v>0</v>
      </c>
      <c r="DR190" s="23">
        <f>PRODUCT(Таблица1[[#This Row],[Столбец4]:[РЕГ НТЛ]])</f>
        <v>0</v>
      </c>
    </row>
    <row r="191" spans="1:122" x14ac:dyDescent="0.25">
      <c r="A191" s="10">
        <v>30</v>
      </c>
      <c r="B191" s="2" t="s">
        <v>272</v>
      </c>
      <c r="C191" s="2" t="s">
        <v>131</v>
      </c>
      <c r="D191" s="2" t="s">
        <v>115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>
        <v>5</v>
      </c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1"/>
      <c r="AR191" s="1"/>
      <c r="AS191" s="1"/>
      <c r="AT191" s="1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57">
        <v>2</v>
      </c>
      <c r="DQ191" s="23">
        <v>0</v>
      </c>
      <c r="DR191" s="23">
        <f>PRODUCT(Таблица1[[#This Row],[Столбец4]:[РЕГ НТЛ]])</f>
        <v>0</v>
      </c>
    </row>
    <row r="192" spans="1:122" x14ac:dyDescent="0.25">
      <c r="A192" s="10">
        <v>34</v>
      </c>
      <c r="B192" s="2" t="s">
        <v>335</v>
      </c>
      <c r="C192" s="36" t="s">
        <v>23</v>
      </c>
      <c r="D192" s="2" t="s">
        <v>134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>
        <v>6</v>
      </c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57">
        <v>2</v>
      </c>
      <c r="DQ192" s="23">
        <v>1</v>
      </c>
      <c r="DR192" s="23">
        <f>PRODUCT(Таблица1[[#This Row],[Столбец4]:[РЕГ НТЛ]])</f>
        <v>2</v>
      </c>
    </row>
    <row r="193" spans="1:122" x14ac:dyDescent="0.25">
      <c r="A193" s="44">
        <v>32</v>
      </c>
      <c r="B193" s="19" t="s">
        <v>354</v>
      </c>
      <c r="C193" s="19" t="s">
        <v>28</v>
      </c>
      <c r="D193" s="19" t="s">
        <v>11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>
        <v>7</v>
      </c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46"/>
      <c r="AR193" s="46"/>
      <c r="AS193" s="46"/>
      <c r="AT193" s="46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58">
        <v>0</v>
      </c>
      <c r="DQ193" s="24">
        <v>1</v>
      </c>
      <c r="DR193" s="24">
        <f>PRODUCT(Таблица1[[#This Row],[Столбец4]:[РЕГ НТЛ]])</f>
        <v>0</v>
      </c>
    </row>
    <row r="194" spans="1:122" x14ac:dyDescent="0.25">
      <c r="A194" s="10">
        <v>28</v>
      </c>
      <c r="B194" s="2" t="s">
        <v>333</v>
      </c>
      <c r="C194" s="36" t="s">
        <v>23</v>
      </c>
      <c r="D194" s="2" t="s">
        <v>134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>
        <v>8</v>
      </c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56">
        <v>0</v>
      </c>
      <c r="DQ194" s="23">
        <v>1</v>
      </c>
      <c r="DR194" s="23">
        <f>PRODUCT(Таблица1[[#This Row],[Столбец4]:[РЕГ НТЛ]])</f>
        <v>0</v>
      </c>
    </row>
    <row r="195" spans="1:122" x14ac:dyDescent="0.25">
      <c r="A195" s="10">
        <v>4</v>
      </c>
      <c r="B195" s="2" t="s">
        <v>274</v>
      </c>
      <c r="C195" s="2" t="s">
        <v>127</v>
      </c>
      <c r="D195" s="2" t="s">
        <v>135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>
        <v>11</v>
      </c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56">
        <v>0</v>
      </c>
      <c r="DQ195" s="23">
        <v>0</v>
      </c>
      <c r="DR195" s="23">
        <f>PRODUCT(Таблица1[[#This Row],[Столбец4]:[РЕГ НТЛ]])</f>
        <v>0</v>
      </c>
    </row>
    <row r="196" spans="1:122" x14ac:dyDescent="0.25">
      <c r="A196" s="10">
        <v>1</v>
      </c>
      <c r="B196" s="2" t="s">
        <v>332</v>
      </c>
      <c r="C196" s="2" t="s">
        <v>127</v>
      </c>
      <c r="D196" s="2" t="s">
        <v>138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>
        <v>12</v>
      </c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56">
        <v>0</v>
      </c>
      <c r="DQ196" s="23">
        <v>0</v>
      </c>
      <c r="DR196" s="23">
        <f>PRODUCT(Таблица1[[#This Row],[Столбец4]:[РЕГ НТЛ]])</f>
        <v>0</v>
      </c>
    </row>
    <row r="197" spans="1:122" x14ac:dyDescent="0.25">
      <c r="A197" s="44">
        <v>24</v>
      </c>
      <c r="B197" s="19" t="s">
        <v>337</v>
      </c>
      <c r="C197" s="19" t="s">
        <v>127</v>
      </c>
      <c r="D197" s="19" t="s">
        <v>135</v>
      </c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>
        <v>13</v>
      </c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58">
        <v>0</v>
      </c>
      <c r="DQ197" s="24">
        <v>0</v>
      </c>
      <c r="DR197" s="24">
        <f>PRODUCT(Таблица1[[#This Row],[Столбец4]:[РЕГ НТЛ]])</f>
        <v>0</v>
      </c>
    </row>
    <row r="198" spans="1:122" x14ac:dyDescent="0.25">
      <c r="A198" s="10">
        <v>23</v>
      </c>
      <c r="B198" s="2" t="s">
        <v>277</v>
      </c>
      <c r="C198" s="2" t="s">
        <v>127</v>
      </c>
      <c r="D198" s="2" t="s">
        <v>135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>
        <v>14</v>
      </c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56">
        <v>0</v>
      </c>
      <c r="DQ198" s="23">
        <v>0</v>
      </c>
      <c r="DR198" s="23">
        <f>PRODUCT(Таблица1[[#This Row],[Столбец4]:[РЕГ НТЛ]])</f>
        <v>0</v>
      </c>
    </row>
    <row r="199" spans="1:122" x14ac:dyDescent="0.25">
      <c r="A199" s="10">
        <v>19</v>
      </c>
      <c r="B199" s="2" t="s">
        <v>344</v>
      </c>
      <c r="C199" s="2" t="s">
        <v>30</v>
      </c>
      <c r="D199" s="2" t="s">
        <v>12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 t="s">
        <v>69</v>
      </c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56">
        <v>0</v>
      </c>
      <c r="DQ199" s="23">
        <v>1</v>
      </c>
      <c r="DR199" s="23">
        <f>PRODUCT(Таблица1[[#This Row],[Столбец4]:[РЕГ НТЛ]])</f>
        <v>0</v>
      </c>
    </row>
    <row r="200" spans="1:122" x14ac:dyDescent="0.25">
      <c r="A200" s="10">
        <v>3</v>
      </c>
      <c r="B200" s="2" t="s">
        <v>351</v>
      </c>
      <c r="C200" s="2" t="s">
        <v>40</v>
      </c>
      <c r="D200" s="2" t="s">
        <v>14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 t="s">
        <v>69</v>
      </c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55">
        <v>0</v>
      </c>
      <c r="DQ200" s="37">
        <v>0</v>
      </c>
      <c r="DR200" s="23">
        <f>PRODUCT(Таблица1[[#This Row],[Столбец4]:[РЕГ НТЛ]])</f>
        <v>0</v>
      </c>
    </row>
    <row r="201" spans="1:122" x14ac:dyDescent="0.25">
      <c r="A201" s="10">
        <v>36</v>
      </c>
      <c r="B201" s="2" t="s">
        <v>303</v>
      </c>
      <c r="C201" s="2" t="s">
        <v>30</v>
      </c>
      <c r="D201" s="2" t="s">
        <v>12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>
        <v>1</v>
      </c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14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54">
        <v>6</v>
      </c>
      <c r="DQ201" s="23">
        <v>1</v>
      </c>
      <c r="DR201" s="23">
        <f>PRODUCT(Таблица1[[#This Row],[Столбец4]:[РЕГ НТЛ]])</f>
        <v>6</v>
      </c>
    </row>
    <row r="202" spans="1:122" x14ac:dyDescent="0.25">
      <c r="A202" s="10">
        <v>40</v>
      </c>
      <c r="B202" s="2" t="s">
        <v>257</v>
      </c>
      <c r="C202" s="2" t="s">
        <v>28</v>
      </c>
      <c r="D202" s="2" t="s">
        <v>11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>
        <v>2</v>
      </c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54">
        <v>4</v>
      </c>
      <c r="DQ202" s="23">
        <v>1</v>
      </c>
      <c r="DR202" s="23">
        <f>PRODUCT(Таблица1[[#This Row],[Столбец4]:[РЕГ НТЛ]])</f>
        <v>4</v>
      </c>
    </row>
    <row r="203" spans="1:122" x14ac:dyDescent="0.25">
      <c r="A203" s="10">
        <v>35</v>
      </c>
      <c r="B203" s="2" t="s">
        <v>341</v>
      </c>
      <c r="C203" s="2" t="s">
        <v>28</v>
      </c>
      <c r="D203" s="2" t="s">
        <v>11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>
        <v>3</v>
      </c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57">
        <v>4</v>
      </c>
      <c r="DQ203" s="23">
        <v>1</v>
      </c>
      <c r="DR203" s="23">
        <f>PRODUCT(Таблица1[[#This Row],[Столбец4]:[РЕГ НТЛ]])</f>
        <v>4</v>
      </c>
    </row>
    <row r="204" spans="1:122" x14ac:dyDescent="0.25">
      <c r="A204" s="10">
        <v>13</v>
      </c>
      <c r="B204" s="2" t="s">
        <v>281</v>
      </c>
      <c r="C204" s="36" t="s">
        <v>23</v>
      </c>
      <c r="D204" s="2" t="s">
        <v>136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>
        <v>4</v>
      </c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54">
        <v>2</v>
      </c>
      <c r="DQ204" s="23">
        <v>0</v>
      </c>
      <c r="DR204" s="23">
        <f>PRODUCT(Таблица1[[#This Row],[Столбец4]:[РЕГ НТЛ]])</f>
        <v>0</v>
      </c>
    </row>
    <row r="205" spans="1:122" x14ac:dyDescent="0.25">
      <c r="A205" s="10">
        <v>275</v>
      </c>
      <c r="B205" s="2" t="s">
        <v>266</v>
      </c>
      <c r="C205" s="36" t="s">
        <v>23</v>
      </c>
      <c r="D205" s="2" t="s">
        <v>134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>
        <v>5</v>
      </c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54">
        <v>2</v>
      </c>
      <c r="DQ205" s="23">
        <v>1</v>
      </c>
      <c r="DR205" s="23">
        <f>PRODUCT(Таблица1[[#This Row],[Столбец4]:[РЕГ НТЛ]])</f>
        <v>2</v>
      </c>
    </row>
    <row r="206" spans="1:122" x14ac:dyDescent="0.25">
      <c r="A206" s="44">
        <v>15</v>
      </c>
      <c r="B206" s="19" t="s">
        <v>269</v>
      </c>
      <c r="C206" s="39" t="s">
        <v>23</v>
      </c>
      <c r="D206" s="19" t="s">
        <v>111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>
        <v>1</v>
      </c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54">
        <v>6</v>
      </c>
      <c r="DQ206" s="24">
        <v>1</v>
      </c>
      <c r="DR206" s="24">
        <f>PRODUCT(Таблица1[[#This Row],[Столбец4]:[РЕГ НТЛ]])</f>
        <v>6</v>
      </c>
    </row>
    <row r="207" spans="1:122" x14ac:dyDescent="0.25">
      <c r="A207" s="10">
        <v>17</v>
      </c>
      <c r="B207" s="2" t="s">
        <v>349</v>
      </c>
      <c r="C207" s="2" t="s">
        <v>25</v>
      </c>
      <c r="D207" s="2" t="s">
        <v>110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>
        <v>2</v>
      </c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14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57">
        <v>4</v>
      </c>
      <c r="DQ207" s="23">
        <v>1</v>
      </c>
      <c r="DR207" s="23">
        <f>PRODUCT(Таблица1[[#This Row],[Столбец4]:[РЕГ НТЛ]])</f>
        <v>4</v>
      </c>
    </row>
    <row r="208" spans="1:122" x14ac:dyDescent="0.25">
      <c r="A208" s="10">
        <v>36</v>
      </c>
      <c r="B208" s="2" t="s">
        <v>303</v>
      </c>
      <c r="C208" s="2" t="s">
        <v>30</v>
      </c>
      <c r="D208" s="2" t="s">
        <v>12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>
        <v>3</v>
      </c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57">
        <v>4</v>
      </c>
      <c r="DQ208" s="23">
        <v>1</v>
      </c>
      <c r="DR208" s="23">
        <f>PRODUCT(Таблица1[[#This Row],[Столбец4]:[РЕГ НТЛ]])</f>
        <v>4</v>
      </c>
    </row>
    <row r="209" spans="1:122" x14ac:dyDescent="0.25">
      <c r="A209" s="44">
        <v>40</v>
      </c>
      <c r="B209" s="19" t="s">
        <v>257</v>
      </c>
      <c r="C209" s="19" t="s">
        <v>28</v>
      </c>
      <c r="D209" s="19" t="s">
        <v>11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>
        <v>4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59">
        <v>2</v>
      </c>
      <c r="DQ209" s="24">
        <v>1</v>
      </c>
      <c r="DR209" s="24">
        <f>PRODUCT(Таблица1[[#This Row],[Столбец4]:[РЕГ НТЛ]])</f>
        <v>2</v>
      </c>
    </row>
    <row r="210" spans="1:122" x14ac:dyDescent="0.25">
      <c r="A210" s="10">
        <v>35</v>
      </c>
      <c r="B210" s="2" t="s">
        <v>341</v>
      </c>
      <c r="C210" s="2" t="s">
        <v>28</v>
      </c>
      <c r="D210" s="2" t="s">
        <v>11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>
        <v>5</v>
      </c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57">
        <v>2</v>
      </c>
      <c r="DQ210" s="23">
        <v>1</v>
      </c>
      <c r="DR210" s="23">
        <f>PRODUCT(Таблица1[[#This Row],[Столбец4]:[РЕГ НТЛ]])</f>
        <v>2</v>
      </c>
    </row>
    <row r="211" spans="1:122" x14ac:dyDescent="0.25">
      <c r="A211" s="10">
        <v>45</v>
      </c>
      <c r="B211" s="2" t="s">
        <v>355</v>
      </c>
      <c r="C211" s="2" t="s">
        <v>28</v>
      </c>
      <c r="D211" s="2" t="s">
        <v>11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>
        <v>6</v>
      </c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57">
        <v>2</v>
      </c>
      <c r="DQ211" s="23">
        <v>1</v>
      </c>
      <c r="DR211" s="23">
        <f>PRODUCT(Таблица1[[#This Row],[Столбец4]:[РЕГ НТЛ]])</f>
        <v>2</v>
      </c>
    </row>
    <row r="212" spans="1:122" x14ac:dyDescent="0.25">
      <c r="A212" s="10">
        <v>13</v>
      </c>
      <c r="B212" s="2" t="s">
        <v>281</v>
      </c>
      <c r="C212" s="36" t="s">
        <v>23</v>
      </c>
      <c r="D212" s="2" t="s">
        <v>136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>
        <v>7</v>
      </c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56">
        <v>0</v>
      </c>
      <c r="DQ212" s="23">
        <v>0</v>
      </c>
      <c r="DR212" s="23">
        <f>PRODUCT(Таблица1[[#This Row],[Столбец4]:[РЕГ НТЛ]])</f>
        <v>0</v>
      </c>
    </row>
    <row r="213" spans="1:122" x14ac:dyDescent="0.25">
      <c r="A213" s="44">
        <v>25</v>
      </c>
      <c r="B213" s="19" t="s">
        <v>323</v>
      </c>
      <c r="C213" s="19" t="s">
        <v>25</v>
      </c>
      <c r="D213" s="19" t="s">
        <v>13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>
        <v>11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46"/>
      <c r="AM213" s="46"/>
      <c r="AN213" s="46"/>
      <c r="AO213" s="46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58">
        <v>0</v>
      </c>
      <c r="DQ213" s="24">
        <v>0</v>
      </c>
      <c r="DR213" s="24">
        <f>PRODUCT(Таблица1[[#This Row],[Столбец4]:[РЕГ НТЛ]])</f>
        <v>0</v>
      </c>
    </row>
    <row r="214" spans="1:122" x14ac:dyDescent="0.25">
      <c r="A214" s="10">
        <v>47</v>
      </c>
      <c r="B214" s="2" t="s">
        <v>265</v>
      </c>
      <c r="C214" s="2" t="s">
        <v>40</v>
      </c>
      <c r="D214" s="2" t="s">
        <v>14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>
        <v>12</v>
      </c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55">
        <v>0</v>
      </c>
      <c r="DQ214" s="37">
        <v>0</v>
      </c>
      <c r="DR214" s="23">
        <f>PRODUCT(Таблица1[[#This Row],[Столбец4]:[РЕГ НТЛ]])</f>
        <v>0</v>
      </c>
    </row>
    <row r="215" spans="1:122" x14ac:dyDescent="0.25">
      <c r="A215" s="10">
        <v>21</v>
      </c>
      <c r="B215" s="2" t="s">
        <v>253</v>
      </c>
      <c r="C215" s="2" t="s">
        <v>40</v>
      </c>
      <c r="D215" s="2" t="s">
        <v>14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>
        <v>13</v>
      </c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1"/>
      <c r="AM215" s="1"/>
      <c r="AN215" s="1"/>
      <c r="AO215" s="1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56">
        <v>0</v>
      </c>
      <c r="DQ215" s="37">
        <v>0</v>
      </c>
      <c r="DR215" s="23">
        <f>PRODUCT(Таблица1[[#This Row],[Столбец4]:[РЕГ НТЛ]])</f>
        <v>0</v>
      </c>
    </row>
    <row r="216" spans="1:122" x14ac:dyDescent="0.25">
      <c r="A216" s="10">
        <v>31</v>
      </c>
      <c r="B216" s="2" t="s">
        <v>267</v>
      </c>
      <c r="C216" s="2" t="s">
        <v>28</v>
      </c>
      <c r="D216" s="2" t="s">
        <v>11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>
        <v>14</v>
      </c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56">
        <v>0</v>
      </c>
      <c r="DQ216" s="23">
        <v>1</v>
      </c>
      <c r="DR216" s="23">
        <f>PRODUCT(Таблица1[[#This Row],[Столбец4]:[РЕГ НТЛ]])</f>
        <v>0</v>
      </c>
    </row>
    <row r="217" spans="1:122" x14ac:dyDescent="0.25">
      <c r="A217" s="10">
        <v>276</v>
      </c>
      <c r="B217" s="2" t="s">
        <v>316</v>
      </c>
      <c r="C217" s="2" t="s">
        <v>40</v>
      </c>
      <c r="D217" s="2" t="s">
        <v>14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>
        <v>17</v>
      </c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1"/>
      <c r="AR217" s="1"/>
      <c r="AS217" s="1"/>
      <c r="AT217" s="1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56">
        <v>0</v>
      </c>
      <c r="DQ217" s="37">
        <v>0</v>
      </c>
      <c r="DR217" s="23">
        <f>PRODUCT(Таблица1[[#This Row],[Столбец4]:[РЕГ НТЛ]])</f>
        <v>0</v>
      </c>
    </row>
    <row r="218" spans="1:122" x14ac:dyDescent="0.25">
      <c r="A218" s="10">
        <v>277</v>
      </c>
      <c r="B218" s="2" t="s">
        <v>276</v>
      </c>
      <c r="C218" s="2" t="s">
        <v>40</v>
      </c>
      <c r="D218" s="2" t="s">
        <v>14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 t="s">
        <v>137</v>
      </c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56">
        <v>0</v>
      </c>
      <c r="DQ218" s="37">
        <v>0</v>
      </c>
      <c r="DR218" s="23">
        <f>PRODUCT(Таблица1[[#This Row],[Столбец4]:[РЕГ НТЛ]])</f>
        <v>0</v>
      </c>
    </row>
    <row r="219" spans="1:122" x14ac:dyDescent="0.25">
      <c r="A219" s="10">
        <v>29</v>
      </c>
      <c r="B219" s="2" t="s">
        <v>343</v>
      </c>
      <c r="C219" s="2" t="s">
        <v>28</v>
      </c>
      <c r="D219" s="2" t="s">
        <v>11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 t="s">
        <v>137</v>
      </c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56">
        <v>0</v>
      </c>
      <c r="DQ219" s="23">
        <v>1</v>
      </c>
      <c r="DR219" s="23">
        <f>PRODUCT(Таблица1[[#This Row],[Столбец4]:[РЕГ НТЛ]])</f>
        <v>0</v>
      </c>
    </row>
    <row r="220" spans="1:122" x14ac:dyDescent="0.25">
      <c r="A220" s="10">
        <v>275</v>
      </c>
      <c r="B220" s="2" t="s">
        <v>266</v>
      </c>
      <c r="C220" s="36" t="s">
        <v>23</v>
      </c>
      <c r="D220" s="2" t="s">
        <v>134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 t="s">
        <v>88</v>
      </c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15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55">
        <v>0</v>
      </c>
      <c r="DQ220" s="23">
        <v>1</v>
      </c>
      <c r="DR220" s="23">
        <f>PRODUCT(Таблица1[[#This Row],[Столбец4]:[РЕГ НТЛ]])</f>
        <v>0</v>
      </c>
    </row>
    <row r="221" spans="1:122" x14ac:dyDescent="0.25">
      <c r="A221" s="10">
        <v>20</v>
      </c>
      <c r="B221" s="2" t="s">
        <v>318</v>
      </c>
      <c r="C221" s="2" t="s">
        <v>40</v>
      </c>
      <c r="D221" s="2" t="s">
        <v>14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 t="s">
        <v>88</v>
      </c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55">
        <v>0</v>
      </c>
      <c r="DQ221" s="37">
        <v>0</v>
      </c>
      <c r="DR221" s="23">
        <f>PRODUCT(Таблица1[[#This Row],[Столбец4]:[РЕГ НТЛ]])</f>
        <v>0</v>
      </c>
    </row>
    <row r="222" spans="1:122" x14ac:dyDescent="0.25">
      <c r="A222" s="10">
        <v>2</v>
      </c>
      <c r="B222" s="2" t="s">
        <v>329</v>
      </c>
      <c r="C222" s="2" t="s">
        <v>30</v>
      </c>
      <c r="D222" s="2" t="s">
        <v>12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 t="s">
        <v>88</v>
      </c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1"/>
      <c r="AR222" s="1"/>
      <c r="AS222" s="1"/>
      <c r="AT222" s="1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56">
        <v>0</v>
      </c>
      <c r="DQ222" s="23">
        <v>0</v>
      </c>
      <c r="DR222" s="23">
        <f>PRODUCT(Таблица1[[#This Row],[Столбец4]:[РЕГ НТЛ]])</f>
        <v>0</v>
      </c>
    </row>
    <row r="223" spans="1:122" x14ac:dyDescent="0.25">
      <c r="A223" s="44">
        <v>45</v>
      </c>
      <c r="B223" s="19" t="s">
        <v>218</v>
      </c>
      <c r="C223" s="19" t="s">
        <v>28</v>
      </c>
      <c r="D223" s="19" t="s">
        <v>11</v>
      </c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>
        <v>1</v>
      </c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59">
        <v>12</v>
      </c>
      <c r="DQ223" s="24">
        <v>1</v>
      </c>
      <c r="DR223" s="24">
        <f>PRODUCT(Таблица1[[#This Row],[Столбец4]:[РЕГ НТЛ]])</f>
        <v>12</v>
      </c>
    </row>
    <row r="224" spans="1:122" x14ac:dyDescent="0.25">
      <c r="A224" s="10">
        <v>21</v>
      </c>
      <c r="B224" s="2" t="s">
        <v>215</v>
      </c>
      <c r="C224" s="2" t="s">
        <v>40</v>
      </c>
      <c r="D224" s="2" t="s">
        <v>14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>
        <v>2</v>
      </c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57">
        <v>8</v>
      </c>
      <c r="DQ224" s="37">
        <v>0</v>
      </c>
      <c r="DR224" s="23">
        <f>PRODUCT(Таблица1[[#This Row],[Столбец4]:[РЕГ НТЛ]])</f>
        <v>0</v>
      </c>
    </row>
    <row r="225" spans="1:122" x14ac:dyDescent="0.25">
      <c r="A225" s="10">
        <v>34</v>
      </c>
      <c r="B225" s="2" t="s">
        <v>216</v>
      </c>
      <c r="C225" s="36" t="s">
        <v>23</v>
      </c>
      <c r="D225" s="2" t="s">
        <v>134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>
        <v>3</v>
      </c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57">
        <v>8</v>
      </c>
      <c r="DQ225" s="23">
        <v>1</v>
      </c>
      <c r="DR225" s="23">
        <f>PRODUCT(Таблица1[[#This Row],[Столбец4]:[РЕГ НТЛ]])</f>
        <v>8</v>
      </c>
    </row>
    <row r="226" spans="1:122" x14ac:dyDescent="0.25">
      <c r="A226" s="44">
        <v>39</v>
      </c>
      <c r="B226" s="2" t="s">
        <v>306</v>
      </c>
      <c r="C226" s="19" t="s">
        <v>28</v>
      </c>
      <c r="D226" s="19" t="s">
        <v>11</v>
      </c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v>1</v>
      </c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54">
        <v>6</v>
      </c>
      <c r="DQ226" s="24">
        <v>1</v>
      </c>
      <c r="DR226" s="24">
        <f>PRODUCT(Таблица1[[#This Row],[Столбец4]:[РЕГ НТЛ]])</f>
        <v>6</v>
      </c>
    </row>
    <row r="227" spans="1:122" x14ac:dyDescent="0.25">
      <c r="A227" s="10">
        <v>20</v>
      </c>
      <c r="B227" s="2" t="s">
        <v>318</v>
      </c>
      <c r="C227" s="2" t="s">
        <v>40</v>
      </c>
      <c r="D227" s="2" t="s">
        <v>14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>
        <v>2</v>
      </c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1"/>
      <c r="AH227" s="1"/>
      <c r="AI227" s="1"/>
      <c r="AJ227" s="1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14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57">
        <v>4</v>
      </c>
      <c r="DQ227" s="37">
        <v>0</v>
      </c>
      <c r="DR227" s="23">
        <f>PRODUCT(Таблица1[[#This Row],[Столбец4]:[РЕГ НТЛ]])</f>
        <v>0</v>
      </c>
    </row>
    <row r="228" spans="1:122" x14ac:dyDescent="0.25">
      <c r="A228" s="10">
        <v>6</v>
      </c>
      <c r="B228" s="2" t="s">
        <v>327</v>
      </c>
      <c r="C228" s="36" t="s">
        <v>23</v>
      </c>
      <c r="D228" s="2" t="s">
        <v>114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>
        <v>3</v>
      </c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1"/>
      <c r="AH228" s="1"/>
      <c r="AI228" s="1"/>
      <c r="AJ228" s="1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54">
        <v>4</v>
      </c>
      <c r="DQ228" s="23">
        <v>1</v>
      </c>
      <c r="DR228" s="23">
        <f>PRODUCT(Таблица1[[#This Row],[Столбец4]:[РЕГ НТЛ]])</f>
        <v>4</v>
      </c>
    </row>
    <row r="229" spans="1:122" x14ac:dyDescent="0.25">
      <c r="A229" s="10">
        <v>41</v>
      </c>
      <c r="B229" s="2" t="s">
        <v>299</v>
      </c>
      <c r="C229" s="36" t="s">
        <v>23</v>
      </c>
      <c r="D229" s="2" t="s">
        <v>133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>
        <v>4</v>
      </c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54">
        <v>2</v>
      </c>
      <c r="DQ229" s="23">
        <v>1</v>
      </c>
      <c r="DR229" s="23">
        <f>PRODUCT(Таблица1[[#This Row],[Столбец4]:[РЕГ НТЛ]])</f>
        <v>2</v>
      </c>
    </row>
    <row r="230" spans="1:122" x14ac:dyDescent="0.25">
      <c r="A230" s="10">
        <v>30</v>
      </c>
      <c r="B230" s="2" t="s">
        <v>272</v>
      </c>
      <c r="C230" s="2" t="s">
        <v>131</v>
      </c>
      <c r="D230" s="2" t="s">
        <v>115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>
        <v>5</v>
      </c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54">
        <v>2</v>
      </c>
      <c r="DQ230" s="23">
        <v>0</v>
      </c>
      <c r="DR230" s="23">
        <f>PRODUCT(Таблица1[[#This Row],[Столбец4]:[РЕГ НТЛ]])</f>
        <v>0</v>
      </c>
    </row>
    <row r="231" spans="1:122" x14ac:dyDescent="0.25">
      <c r="A231" s="10">
        <v>18</v>
      </c>
      <c r="B231" s="2" t="s">
        <v>317</v>
      </c>
      <c r="C231" s="2" t="s">
        <v>30</v>
      </c>
      <c r="D231" s="2" t="s">
        <v>12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>
        <v>6</v>
      </c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1"/>
      <c r="AH231" s="1"/>
      <c r="AI231" s="1"/>
      <c r="AJ231" s="1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57">
        <v>2</v>
      </c>
      <c r="DQ231" s="23">
        <v>1</v>
      </c>
      <c r="DR231" s="23">
        <f>PRODUCT(Таблица1[[#This Row],[Столбец4]:[РЕГ НТЛ]])</f>
        <v>2</v>
      </c>
    </row>
    <row r="232" spans="1:122" x14ac:dyDescent="0.25">
      <c r="A232" s="44">
        <v>3</v>
      </c>
      <c r="B232" s="19" t="s">
        <v>351</v>
      </c>
      <c r="C232" s="19" t="s">
        <v>40</v>
      </c>
      <c r="D232" s="19" t="s">
        <v>14</v>
      </c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v>7</v>
      </c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58">
        <v>0</v>
      </c>
      <c r="DQ232" s="40">
        <v>0</v>
      </c>
      <c r="DR232" s="24">
        <f>PRODUCT(Таблица1[[#This Row],[Столбец4]:[РЕГ НТЛ]])</f>
        <v>0</v>
      </c>
    </row>
    <row r="233" spans="1:122" x14ac:dyDescent="0.25">
      <c r="A233" s="10">
        <v>28</v>
      </c>
      <c r="B233" s="19" t="s">
        <v>333</v>
      </c>
      <c r="C233" s="36" t="s">
        <v>23</v>
      </c>
      <c r="D233" s="2" t="s">
        <v>134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>
        <v>8</v>
      </c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56">
        <v>0</v>
      </c>
      <c r="DQ233" s="23">
        <v>1</v>
      </c>
      <c r="DR233" s="23">
        <f>PRODUCT(Таблица1[[#This Row],[Столбец4]:[РЕГ НТЛ]])</f>
        <v>0</v>
      </c>
    </row>
    <row r="234" spans="1:122" x14ac:dyDescent="0.25">
      <c r="A234" s="10">
        <v>34</v>
      </c>
      <c r="B234" s="19" t="s">
        <v>335</v>
      </c>
      <c r="C234" s="36" t="s">
        <v>23</v>
      </c>
      <c r="D234" s="2" t="s">
        <v>134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 t="s">
        <v>69</v>
      </c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56">
        <v>0</v>
      </c>
      <c r="DQ234" s="23">
        <v>1</v>
      </c>
      <c r="DR234" s="23">
        <f>PRODUCT(Таблица1[[#This Row],[Столбец4]:[РЕГ НТЛ]])</f>
        <v>0</v>
      </c>
    </row>
    <row r="235" spans="1:122" x14ac:dyDescent="0.25">
      <c r="A235" s="10">
        <v>24</v>
      </c>
      <c r="B235" s="19" t="s">
        <v>337</v>
      </c>
      <c r="C235" s="2" t="s">
        <v>127</v>
      </c>
      <c r="D235" s="2" t="s">
        <v>135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 t="s">
        <v>69</v>
      </c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56">
        <v>0</v>
      </c>
      <c r="DQ235" s="23">
        <v>0</v>
      </c>
      <c r="DR235" s="23">
        <f>PRODUCT(Таблица1[[#This Row],[Столбец4]:[РЕГ НТЛ]])</f>
        <v>0</v>
      </c>
    </row>
    <row r="236" spans="1:122" x14ac:dyDescent="0.25">
      <c r="A236" s="35">
        <v>119</v>
      </c>
      <c r="B236" s="39" t="s">
        <v>314</v>
      </c>
      <c r="C236" s="36" t="s">
        <v>32</v>
      </c>
      <c r="D236" s="36" t="s">
        <v>146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>
        <v>1</v>
      </c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56">
        <v>12</v>
      </c>
      <c r="DQ236" s="37">
        <v>0</v>
      </c>
      <c r="DR236" s="37">
        <f>PRODUCT(Таблица1[[#This Row],[Столбец4]:[РЕГ НТЛ]])</f>
        <v>0</v>
      </c>
    </row>
    <row r="237" spans="1:122" x14ac:dyDescent="0.25">
      <c r="A237" s="38">
        <v>106</v>
      </c>
      <c r="B237" s="36" t="s">
        <v>288</v>
      </c>
      <c r="C237" s="39" t="s">
        <v>28</v>
      </c>
      <c r="D237" s="39" t="s">
        <v>11</v>
      </c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>
        <v>2</v>
      </c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58">
        <v>8</v>
      </c>
      <c r="DQ237" s="40">
        <v>1</v>
      </c>
      <c r="DR237" s="40">
        <f>PRODUCT(Таблица1[[#This Row],[Столбец4]:[РЕГ НТЛ]])</f>
        <v>8</v>
      </c>
    </row>
    <row r="238" spans="1:122" x14ac:dyDescent="0.25">
      <c r="A238" s="35">
        <v>100</v>
      </c>
      <c r="B238" s="36" t="s">
        <v>321</v>
      </c>
      <c r="C238" s="36" t="s">
        <v>28</v>
      </c>
      <c r="D238" s="36" t="s">
        <v>11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>
        <v>3</v>
      </c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56">
        <v>8</v>
      </c>
      <c r="DQ238" s="37">
        <v>1</v>
      </c>
      <c r="DR238" s="37">
        <f>PRODUCT(Таблица1[[#This Row],[Столбец4]:[РЕГ НТЛ]])</f>
        <v>8</v>
      </c>
    </row>
    <row r="239" spans="1:122" x14ac:dyDescent="0.25">
      <c r="A239" s="35">
        <v>104</v>
      </c>
      <c r="B239" s="36" t="s">
        <v>258</v>
      </c>
      <c r="C239" s="36" t="s">
        <v>28</v>
      </c>
      <c r="D239" s="36" t="s">
        <v>11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>
        <v>4</v>
      </c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55">
        <v>4</v>
      </c>
      <c r="DQ239" s="37">
        <v>1</v>
      </c>
      <c r="DR239" s="37">
        <f>PRODUCT(Таблица1[[#This Row],[Столбец4]:[РЕГ НТЛ]])</f>
        <v>4</v>
      </c>
    </row>
    <row r="240" spans="1:122" x14ac:dyDescent="0.25">
      <c r="A240" s="38">
        <v>90</v>
      </c>
      <c r="B240" s="36" t="s">
        <v>231</v>
      </c>
      <c r="C240" s="39" t="s">
        <v>32</v>
      </c>
      <c r="D240" s="39" t="s">
        <v>146</v>
      </c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>
        <v>1</v>
      </c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55">
        <v>18</v>
      </c>
      <c r="DQ240" s="40">
        <v>0</v>
      </c>
      <c r="DR240" s="40">
        <f>PRODUCT(Таблица1[[#This Row],[Столбец4]:[РЕГ НТЛ]])</f>
        <v>0</v>
      </c>
    </row>
    <row r="241" spans="1:122" x14ac:dyDescent="0.25">
      <c r="A241" s="35">
        <v>97</v>
      </c>
      <c r="B241" s="36" t="s">
        <v>237</v>
      </c>
      <c r="C241" s="36" t="s">
        <v>28</v>
      </c>
      <c r="D241" s="36" t="s">
        <v>11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>
        <v>2</v>
      </c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55">
        <v>12</v>
      </c>
      <c r="DQ241" s="37">
        <v>1</v>
      </c>
      <c r="DR241" s="37">
        <f>PRODUCT(Таблица1[[#This Row],[Столбец4]:[РЕГ НТЛ]])</f>
        <v>12</v>
      </c>
    </row>
    <row r="242" spans="1:122" x14ac:dyDescent="0.25">
      <c r="A242" s="35">
        <v>96</v>
      </c>
      <c r="B242" s="36" t="s">
        <v>234</v>
      </c>
      <c r="C242" s="36" t="s">
        <v>23</v>
      </c>
      <c r="D242" s="36" t="s">
        <v>53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>
        <v>3</v>
      </c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55">
        <v>12</v>
      </c>
      <c r="DQ242" s="61">
        <v>0.5</v>
      </c>
      <c r="DR242" s="37">
        <f>PRODUCT(Таблица1[[#This Row],[Столбец4]:[РЕГ НТЛ]])</f>
        <v>6</v>
      </c>
    </row>
    <row r="243" spans="1:122" x14ac:dyDescent="0.25">
      <c r="A243" s="35">
        <v>120</v>
      </c>
      <c r="B243" s="36" t="s">
        <v>233</v>
      </c>
      <c r="C243" s="36" t="s">
        <v>23</v>
      </c>
      <c r="D243" s="36" t="s">
        <v>57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>
        <v>4</v>
      </c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56">
        <v>6</v>
      </c>
      <c r="DQ243" s="37">
        <v>1</v>
      </c>
      <c r="DR243" s="37">
        <f>PRODUCT(Таблица1[[#This Row],[Столбец4]:[РЕГ НТЛ]])</f>
        <v>6</v>
      </c>
    </row>
    <row r="244" spans="1:122" x14ac:dyDescent="0.25">
      <c r="A244" s="35">
        <v>111</v>
      </c>
      <c r="B244" s="36" t="s">
        <v>270</v>
      </c>
      <c r="C244" s="36" t="s">
        <v>28</v>
      </c>
      <c r="D244" s="36" t="s">
        <v>11</v>
      </c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>
        <v>1</v>
      </c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56">
        <v>12</v>
      </c>
      <c r="DQ244" s="37">
        <v>1</v>
      </c>
      <c r="DR244" s="37">
        <f>PRODUCT(Таблица1[[#This Row],[Столбец4]:[РЕГ НТЛ]])</f>
        <v>12</v>
      </c>
    </row>
    <row r="245" spans="1:122" x14ac:dyDescent="0.25">
      <c r="A245" s="35">
        <v>106</v>
      </c>
      <c r="B245" s="36" t="s">
        <v>288</v>
      </c>
      <c r="C245" s="36" t="s">
        <v>28</v>
      </c>
      <c r="D245" s="36" t="s">
        <v>11</v>
      </c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>
        <v>2</v>
      </c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55">
        <v>8</v>
      </c>
      <c r="DQ245" s="37">
        <v>1</v>
      </c>
      <c r="DR245" s="37">
        <f>PRODUCT(Таблица1[[#This Row],[Столбец4]:[РЕГ НТЛ]])</f>
        <v>8</v>
      </c>
    </row>
    <row r="246" spans="1:122" x14ac:dyDescent="0.25">
      <c r="A246" s="35">
        <v>104</v>
      </c>
      <c r="B246" s="36" t="s">
        <v>258</v>
      </c>
      <c r="C246" s="36" t="s">
        <v>28</v>
      </c>
      <c r="D246" s="36" t="s">
        <v>11</v>
      </c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>
        <v>3</v>
      </c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56">
        <v>8</v>
      </c>
      <c r="DQ246" s="37">
        <v>1</v>
      </c>
      <c r="DR246" s="37">
        <f>PRODUCT(Таблица1[[#This Row],[Столбец4]:[РЕГ НТЛ]])</f>
        <v>8</v>
      </c>
    </row>
    <row r="247" spans="1:122" x14ac:dyDescent="0.25">
      <c r="A247" s="38">
        <v>92</v>
      </c>
      <c r="B247" s="39" t="s">
        <v>301</v>
      </c>
      <c r="C247" s="39" t="s">
        <v>28</v>
      </c>
      <c r="D247" s="39" t="s">
        <v>11</v>
      </c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>
        <v>4</v>
      </c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58">
        <v>4</v>
      </c>
      <c r="DQ247" s="40">
        <v>1</v>
      </c>
      <c r="DR247" s="40">
        <f>PRODUCT(Таблица1[[#This Row],[Столбец4]:[РЕГ НТЛ]])</f>
        <v>4</v>
      </c>
    </row>
    <row r="248" spans="1:122" x14ac:dyDescent="0.25">
      <c r="A248" s="35">
        <v>110</v>
      </c>
      <c r="B248" s="36" t="s">
        <v>295</v>
      </c>
      <c r="C248" s="36" t="s">
        <v>28</v>
      </c>
      <c r="D248" s="36" t="s">
        <v>11</v>
      </c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>
        <v>5</v>
      </c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56">
        <v>4</v>
      </c>
      <c r="DQ248" s="37">
        <v>1</v>
      </c>
      <c r="DR248" s="37">
        <f>PRODUCT(Таблица1[[#This Row],[Столбец4]:[РЕГ НТЛ]])</f>
        <v>4</v>
      </c>
    </row>
    <row r="249" spans="1:122" x14ac:dyDescent="0.25">
      <c r="A249" s="35">
        <v>105</v>
      </c>
      <c r="B249" s="36" t="s">
        <v>311</v>
      </c>
      <c r="C249" s="36" t="s">
        <v>28</v>
      </c>
      <c r="D249" s="36" t="s">
        <v>11</v>
      </c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>
        <v>6</v>
      </c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56">
        <v>4</v>
      </c>
      <c r="DQ249" s="37">
        <v>1</v>
      </c>
      <c r="DR249" s="37">
        <f>PRODUCT(Таблица1[[#This Row],[Столбец4]:[РЕГ НТЛ]])</f>
        <v>4</v>
      </c>
    </row>
    <row r="250" spans="1:122" x14ac:dyDescent="0.25">
      <c r="A250" s="35">
        <v>103</v>
      </c>
      <c r="B250" s="36" t="s">
        <v>243</v>
      </c>
      <c r="C250" s="36" t="s">
        <v>28</v>
      </c>
      <c r="D250" s="36" t="s">
        <v>11</v>
      </c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>
        <v>1</v>
      </c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55">
        <v>18</v>
      </c>
      <c r="DQ250" s="37">
        <v>1</v>
      </c>
      <c r="DR250" s="37">
        <f>PRODUCT(Таблица1[[#This Row],[Столбец4]:[РЕГ НТЛ]])</f>
        <v>18</v>
      </c>
    </row>
    <row r="251" spans="1:122" x14ac:dyDescent="0.25">
      <c r="A251" s="38">
        <v>97</v>
      </c>
      <c r="B251" s="39" t="s">
        <v>237</v>
      </c>
      <c r="C251" s="39" t="s">
        <v>28</v>
      </c>
      <c r="D251" s="39" t="s">
        <v>11</v>
      </c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>
        <v>2</v>
      </c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55">
        <v>12</v>
      </c>
      <c r="DQ251" s="40">
        <v>1</v>
      </c>
      <c r="DR251" s="40">
        <f>PRODUCT(Таблица1[[#This Row],[Столбец4]:[РЕГ НТЛ]])</f>
        <v>12</v>
      </c>
    </row>
    <row r="252" spans="1:122" x14ac:dyDescent="0.25">
      <c r="A252" s="35">
        <v>282</v>
      </c>
      <c r="B252" s="36" t="s">
        <v>334</v>
      </c>
      <c r="C252" s="36" t="s">
        <v>28</v>
      </c>
      <c r="D252" s="36" t="s">
        <v>11</v>
      </c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>
        <v>1</v>
      </c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55">
        <v>12</v>
      </c>
      <c r="DQ252" s="37">
        <v>1</v>
      </c>
      <c r="DR252" s="37">
        <f>PRODUCT(Таблица1[[#This Row],[Столбец4]:[РЕГ НТЛ]])</f>
        <v>12</v>
      </c>
    </row>
    <row r="253" spans="1:122" x14ac:dyDescent="0.25">
      <c r="A253" s="35">
        <v>115</v>
      </c>
      <c r="B253" s="36" t="s">
        <v>296</v>
      </c>
      <c r="C253" s="36" t="s">
        <v>28</v>
      </c>
      <c r="D253" s="36" t="s">
        <v>11</v>
      </c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>
        <v>2</v>
      </c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56">
        <v>8</v>
      </c>
      <c r="DQ253" s="37">
        <v>1</v>
      </c>
      <c r="DR253" s="37">
        <f>PRODUCT(Таблица1[[#This Row],[Столбец4]:[РЕГ НТЛ]])</f>
        <v>8</v>
      </c>
    </row>
    <row r="254" spans="1:122" x14ac:dyDescent="0.25">
      <c r="A254" s="35">
        <v>117</v>
      </c>
      <c r="B254" s="36" t="s">
        <v>294</v>
      </c>
      <c r="C254" s="36" t="s">
        <v>23</v>
      </c>
      <c r="D254" s="36" t="s">
        <v>53</v>
      </c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>
        <v>3</v>
      </c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56">
        <v>8</v>
      </c>
      <c r="DQ254" s="37">
        <v>1</v>
      </c>
      <c r="DR254" s="37">
        <f>PRODUCT(Таблица1[[#This Row],[Столбец4]:[РЕГ НТЛ]])</f>
        <v>8</v>
      </c>
    </row>
    <row r="255" spans="1:122" x14ac:dyDescent="0.25">
      <c r="A255" s="35">
        <v>118</v>
      </c>
      <c r="B255" s="36" t="s">
        <v>342</v>
      </c>
      <c r="C255" s="36" t="s">
        <v>28</v>
      </c>
      <c r="D255" s="36" t="s">
        <v>11</v>
      </c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>
        <v>4</v>
      </c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56">
        <v>4</v>
      </c>
      <c r="DQ255" s="37">
        <v>1</v>
      </c>
      <c r="DR255" s="37">
        <f>PRODUCT(Таблица1[[#This Row],[Столбец4]:[РЕГ НТЛ]])</f>
        <v>4</v>
      </c>
    </row>
    <row r="256" spans="1:122" x14ac:dyDescent="0.25">
      <c r="A256" s="35">
        <v>100</v>
      </c>
      <c r="B256" s="36" t="s">
        <v>321</v>
      </c>
      <c r="C256" s="36" t="s">
        <v>28</v>
      </c>
      <c r="D256" s="36" t="s">
        <v>11</v>
      </c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>
        <v>5</v>
      </c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56">
        <v>4</v>
      </c>
      <c r="DQ256" s="37">
        <v>1</v>
      </c>
      <c r="DR256" s="37">
        <f>PRODUCT(Таблица1[[#This Row],[Столбец4]:[РЕГ НТЛ]])</f>
        <v>4</v>
      </c>
    </row>
    <row r="257" spans="1:122" x14ac:dyDescent="0.25">
      <c r="A257" s="35">
        <v>112</v>
      </c>
      <c r="B257" s="36" t="s">
        <v>238</v>
      </c>
      <c r="C257" s="36" t="s">
        <v>28</v>
      </c>
      <c r="D257" s="36" t="s">
        <v>11</v>
      </c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>
        <v>1</v>
      </c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56">
        <v>18</v>
      </c>
      <c r="DQ257" s="37">
        <v>1</v>
      </c>
      <c r="DR257" s="37">
        <f>PRODUCT(Таблица1[[#This Row],[Столбец4]:[РЕГ НТЛ]])</f>
        <v>18</v>
      </c>
    </row>
    <row r="258" spans="1:122" x14ac:dyDescent="0.25">
      <c r="A258" s="35">
        <v>93</v>
      </c>
      <c r="B258" s="36" t="s">
        <v>236</v>
      </c>
      <c r="C258" s="36" t="s">
        <v>28</v>
      </c>
      <c r="D258" s="36" t="s">
        <v>11</v>
      </c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>
        <v>2</v>
      </c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55">
        <v>12</v>
      </c>
      <c r="DQ258" s="37">
        <v>1</v>
      </c>
      <c r="DR258" s="37">
        <f>PRODUCT(Таблица1[[#This Row],[Столбец4]:[РЕГ НТЛ]])</f>
        <v>12</v>
      </c>
    </row>
    <row r="259" spans="1:122" x14ac:dyDescent="0.25">
      <c r="A259" s="35">
        <v>113</v>
      </c>
      <c r="B259" s="36" t="s">
        <v>229</v>
      </c>
      <c r="C259" s="36" t="s">
        <v>28</v>
      </c>
      <c r="D259" s="36" t="s">
        <v>11</v>
      </c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>
        <v>3</v>
      </c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55">
        <v>12</v>
      </c>
      <c r="DQ259" s="37">
        <v>1</v>
      </c>
      <c r="DR259" s="37">
        <f>PRODUCT(Таблица1[[#This Row],[Столбец4]:[РЕГ НТЛ]])</f>
        <v>12</v>
      </c>
    </row>
    <row r="260" spans="1:122" x14ac:dyDescent="0.25">
      <c r="A260" s="35">
        <v>116</v>
      </c>
      <c r="B260" s="36" t="s">
        <v>239</v>
      </c>
      <c r="C260" s="36" t="s">
        <v>23</v>
      </c>
      <c r="D260" s="36" t="s">
        <v>53</v>
      </c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>
        <v>4</v>
      </c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55">
        <v>6</v>
      </c>
      <c r="DQ260" s="61">
        <v>0.5</v>
      </c>
      <c r="DR260" s="37">
        <f>PRODUCT(Таблица1[[#This Row],[Столбец4]:[РЕГ НТЛ]])</f>
        <v>3</v>
      </c>
    </row>
    <row r="261" spans="1:122" x14ac:dyDescent="0.25">
      <c r="A261" s="35">
        <v>286</v>
      </c>
      <c r="B261" s="36" t="s">
        <v>350</v>
      </c>
      <c r="C261" s="2" t="s">
        <v>30</v>
      </c>
      <c r="D261" s="36" t="s">
        <v>12</v>
      </c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>
        <v>1</v>
      </c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55">
        <v>12</v>
      </c>
      <c r="DQ261" s="37">
        <v>1</v>
      </c>
      <c r="DR261" s="37">
        <f>PRODUCT(Таблица1[[#This Row],[Столбец4]:[РЕГ НТЛ]])</f>
        <v>12</v>
      </c>
    </row>
    <row r="262" spans="1:122" x14ac:dyDescent="0.25">
      <c r="A262" s="38">
        <v>285</v>
      </c>
      <c r="B262" s="36" t="s">
        <v>305</v>
      </c>
      <c r="C262" s="39" t="s">
        <v>249</v>
      </c>
      <c r="D262" s="39" t="s">
        <v>184</v>
      </c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>
        <v>2</v>
      </c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55">
        <v>8</v>
      </c>
      <c r="DQ262" s="40">
        <v>0</v>
      </c>
      <c r="DR262" s="40">
        <f>PRODUCT(Таблица1[[#This Row],[Столбец4]:[РЕГ НТЛ]])</f>
        <v>0</v>
      </c>
    </row>
    <row r="263" spans="1:122" x14ac:dyDescent="0.25">
      <c r="A263" s="35">
        <v>109</v>
      </c>
      <c r="B263" s="36" t="s">
        <v>260</v>
      </c>
      <c r="C263" s="2" t="s">
        <v>30</v>
      </c>
      <c r="D263" s="36" t="s">
        <v>12</v>
      </c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>
        <v>3</v>
      </c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55">
        <v>8</v>
      </c>
      <c r="DQ263" s="37">
        <v>1</v>
      </c>
      <c r="DR263" s="37">
        <f>PRODUCT(Таблица1[[#This Row],[Столбец4]:[РЕГ НТЛ]])</f>
        <v>8</v>
      </c>
    </row>
    <row r="264" spans="1:122" x14ac:dyDescent="0.25">
      <c r="A264" s="35">
        <v>108</v>
      </c>
      <c r="B264" s="36" t="s">
        <v>358</v>
      </c>
      <c r="C264" s="2" t="s">
        <v>30</v>
      </c>
      <c r="D264" s="36" t="s">
        <v>12</v>
      </c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>
        <v>4</v>
      </c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55">
        <v>4</v>
      </c>
      <c r="DQ264" s="37">
        <v>1</v>
      </c>
      <c r="DR264" s="37">
        <f>PRODUCT(Таблица1[[#This Row],[Столбец4]:[РЕГ НТЛ]])</f>
        <v>4</v>
      </c>
    </row>
    <row r="265" spans="1:122" x14ac:dyDescent="0.25">
      <c r="A265" s="38">
        <v>121</v>
      </c>
      <c r="B265" s="39" t="s">
        <v>235</v>
      </c>
      <c r="C265" s="39" t="s">
        <v>37</v>
      </c>
      <c r="D265" s="39" t="s">
        <v>18</v>
      </c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>
        <v>1</v>
      </c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55">
        <v>18</v>
      </c>
      <c r="DQ265" s="40">
        <v>1</v>
      </c>
      <c r="DR265" s="40">
        <f>PRODUCT(Таблица1[[#This Row],[Столбец4]:[РЕГ НТЛ]])</f>
        <v>18</v>
      </c>
    </row>
    <row r="266" spans="1:122" x14ac:dyDescent="0.25">
      <c r="A266" s="35">
        <v>101</v>
      </c>
      <c r="B266" s="36" t="s">
        <v>232</v>
      </c>
      <c r="C266" s="36" t="s">
        <v>28</v>
      </c>
      <c r="D266" s="36" t="s">
        <v>11</v>
      </c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>
        <v>2</v>
      </c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55">
        <v>12</v>
      </c>
      <c r="DQ266" s="37">
        <v>1</v>
      </c>
      <c r="DR266" s="37">
        <f>PRODUCT(Таблица1[[#This Row],[Столбец4]:[РЕГ НТЛ]])</f>
        <v>12</v>
      </c>
    </row>
    <row r="267" spans="1:122" x14ac:dyDescent="0.25">
      <c r="A267" s="35">
        <v>286</v>
      </c>
      <c r="B267" s="36" t="s">
        <v>244</v>
      </c>
      <c r="C267" s="2" t="s">
        <v>30</v>
      </c>
      <c r="D267" s="36" t="s">
        <v>12</v>
      </c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>
        <v>3</v>
      </c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55">
        <v>12</v>
      </c>
      <c r="DQ267" s="37">
        <v>1</v>
      </c>
      <c r="DR267" s="37">
        <f>PRODUCT(Таблица1[[#This Row],[Столбец4]:[РЕГ НТЛ]])</f>
        <v>12</v>
      </c>
    </row>
    <row r="268" spans="1:122" x14ac:dyDescent="0.25">
      <c r="A268" s="38">
        <v>102</v>
      </c>
      <c r="B268" s="39" t="s">
        <v>241</v>
      </c>
      <c r="C268" s="36" t="s">
        <v>28</v>
      </c>
      <c r="D268" s="39" t="s">
        <v>11</v>
      </c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>
        <v>4</v>
      </c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55">
        <v>6</v>
      </c>
      <c r="DQ268" s="40">
        <v>1</v>
      </c>
      <c r="DR268" s="40">
        <f>PRODUCT(Таблица1[[#This Row],[Столбец4]:[РЕГ НТЛ]])</f>
        <v>6</v>
      </c>
    </row>
    <row r="269" spans="1:122" x14ac:dyDescent="0.25">
      <c r="A269" s="38">
        <v>109</v>
      </c>
      <c r="B269" s="39" t="s">
        <v>230</v>
      </c>
      <c r="C269" s="2" t="s">
        <v>30</v>
      </c>
      <c r="D269" s="39" t="s">
        <v>12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>
        <v>5</v>
      </c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55">
        <v>6</v>
      </c>
      <c r="DQ269" s="40">
        <v>1</v>
      </c>
      <c r="DR269" s="40">
        <f>PRODUCT(Таблица1[[#This Row],[Столбец4]:[РЕГ НТЛ]])</f>
        <v>6</v>
      </c>
    </row>
    <row r="270" spans="1:122" x14ac:dyDescent="0.25">
      <c r="A270" s="35">
        <v>73</v>
      </c>
      <c r="B270" s="36" t="s">
        <v>282</v>
      </c>
      <c r="C270" s="36" t="s">
        <v>28</v>
      </c>
      <c r="D270" s="36" t="s">
        <v>11</v>
      </c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>
        <v>1</v>
      </c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56">
        <v>12</v>
      </c>
      <c r="DQ270" s="37">
        <v>1</v>
      </c>
      <c r="DR270" s="37">
        <f>PRODUCT(Таблица1[[#This Row],[Столбец4]:[РЕГ НТЛ]])</f>
        <v>12</v>
      </c>
    </row>
    <row r="271" spans="1:122" x14ac:dyDescent="0.25">
      <c r="A271" s="35">
        <v>59</v>
      </c>
      <c r="B271" s="36" t="s">
        <v>309</v>
      </c>
      <c r="C271" s="36" t="s">
        <v>28</v>
      </c>
      <c r="D271" s="36" t="s">
        <v>11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>
        <v>2</v>
      </c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56">
        <v>8</v>
      </c>
      <c r="DQ271" s="37">
        <v>1</v>
      </c>
      <c r="DR271" s="37">
        <f>PRODUCT(Таблица1[[#This Row],[Столбец4]:[РЕГ НТЛ]])</f>
        <v>8</v>
      </c>
    </row>
    <row r="272" spans="1:122" x14ac:dyDescent="0.25">
      <c r="A272" s="35">
        <v>279</v>
      </c>
      <c r="B272" s="36" t="s">
        <v>251</v>
      </c>
      <c r="C272" s="36" t="s">
        <v>35</v>
      </c>
      <c r="D272" s="36" t="s">
        <v>20</v>
      </c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>
        <v>3</v>
      </c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56">
        <v>8</v>
      </c>
      <c r="DQ272" s="37">
        <v>1</v>
      </c>
      <c r="DR272" s="37">
        <f>PRODUCT(Таблица1[[#This Row],[Столбец4]:[РЕГ НТЛ]])</f>
        <v>8</v>
      </c>
    </row>
    <row r="273" spans="1:122" x14ac:dyDescent="0.25">
      <c r="A273" s="35">
        <v>83</v>
      </c>
      <c r="B273" s="36" t="s">
        <v>352</v>
      </c>
      <c r="C273" s="36" t="s">
        <v>28</v>
      </c>
      <c r="D273" s="36" t="s">
        <v>11</v>
      </c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>
        <v>4</v>
      </c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55">
        <v>4</v>
      </c>
      <c r="DQ273" s="37">
        <v>1</v>
      </c>
      <c r="DR273" s="37">
        <f>PRODUCT(Таблица1[[#This Row],[Столбец4]:[РЕГ НТЛ]])</f>
        <v>4</v>
      </c>
    </row>
    <row r="274" spans="1:122" x14ac:dyDescent="0.25">
      <c r="A274" s="35">
        <v>66</v>
      </c>
      <c r="B274" s="36" t="s">
        <v>298</v>
      </c>
      <c r="C274" s="36" t="s">
        <v>28</v>
      </c>
      <c r="D274" s="36" t="s">
        <v>11</v>
      </c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>
        <v>5</v>
      </c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56">
        <v>4</v>
      </c>
      <c r="DQ274" s="37">
        <v>1</v>
      </c>
      <c r="DR274" s="37">
        <f>PRODUCT(Таблица1[[#This Row],[Столбец4]:[РЕГ НТЛ]])</f>
        <v>4</v>
      </c>
    </row>
    <row r="275" spans="1:122" x14ac:dyDescent="0.25">
      <c r="A275" s="35">
        <v>69</v>
      </c>
      <c r="B275" s="36" t="s">
        <v>320</v>
      </c>
      <c r="C275" s="36" t="s">
        <v>28</v>
      </c>
      <c r="D275" s="36" t="s">
        <v>11</v>
      </c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>
        <v>6</v>
      </c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56">
        <v>4</v>
      </c>
      <c r="DQ275" s="37">
        <v>1</v>
      </c>
      <c r="DR275" s="37">
        <f>PRODUCT(Таблица1[[#This Row],[Столбец4]:[РЕГ НТЛ]])</f>
        <v>4</v>
      </c>
    </row>
    <row r="276" spans="1:122" x14ac:dyDescent="0.25">
      <c r="A276" s="35">
        <v>55</v>
      </c>
      <c r="B276" s="36" t="s">
        <v>336</v>
      </c>
      <c r="C276" s="36" t="s">
        <v>23</v>
      </c>
      <c r="D276" s="36" t="s">
        <v>150</v>
      </c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>
        <v>9</v>
      </c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55">
        <v>0</v>
      </c>
      <c r="DQ276" s="37">
        <v>1</v>
      </c>
      <c r="DR276" s="37">
        <f>PRODUCT(Таблица1[[#This Row],[Столбец4]:[РЕГ НТЛ]])</f>
        <v>0</v>
      </c>
    </row>
    <row r="277" spans="1:122" x14ac:dyDescent="0.25">
      <c r="A277" s="35">
        <v>58</v>
      </c>
      <c r="B277" s="36" t="s">
        <v>304</v>
      </c>
      <c r="C277" s="36" t="s">
        <v>28</v>
      </c>
      <c r="D277" s="36" t="s">
        <v>11</v>
      </c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>
        <v>10</v>
      </c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55">
        <v>0</v>
      </c>
      <c r="DQ277" s="37">
        <v>1</v>
      </c>
      <c r="DR277" s="37">
        <f>PRODUCT(Таблица1[[#This Row],[Столбец4]:[РЕГ НТЛ]])</f>
        <v>0</v>
      </c>
    </row>
    <row r="278" spans="1:122" x14ac:dyDescent="0.25">
      <c r="A278" s="35">
        <v>84</v>
      </c>
      <c r="B278" s="36" t="s">
        <v>271</v>
      </c>
      <c r="C278" s="36" t="s">
        <v>23</v>
      </c>
      <c r="D278" s="36" t="s">
        <v>53</v>
      </c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>
        <v>11</v>
      </c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55">
        <v>0</v>
      </c>
      <c r="DQ278" s="37">
        <v>1</v>
      </c>
      <c r="DR278" s="37">
        <f>PRODUCT(Таблица1[[#This Row],[Столбец4]:[РЕГ НТЛ]])</f>
        <v>0</v>
      </c>
    </row>
    <row r="279" spans="1:122" x14ac:dyDescent="0.25">
      <c r="A279" s="35">
        <v>54</v>
      </c>
      <c r="B279" s="36" t="s">
        <v>279</v>
      </c>
      <c r="C279" s="36" t="s">
        <v>28</v>
      </c>
      <c r="D279" s="36" t="s">
        <v>11</v>
      </c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 t="s">
        <v>15</v>
      </c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55">
        <v>0</v>
      </c>
      <c r="DQ279" s="37">
        <v>1</v>
      </c>
      <c r="DR279" s="37">
        <f>PRODUCT(Таблица1[[#This Row],[Столбец4]:[РЕГ НТЛ]])</f>
        <v>0</v>
      </c>
    </row>
    <row r="280" spans="1:122" x14ac:dyDescent="0.25">
      <c r="A280" s="38">
        <v>81</v>
      </c>
      <c r="B280" s="39" t="s">
        <v>345</v>
      </c>
      <c r="C280" s="36" t="s">
        <v>23</v>
      </c>
      <c r="D280" s="39" t="s">
        <v>175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 t="s">
        <v>15</v>
      </c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55">
        <v>0</v>
      </c>
      <c r="DQ280" s="40">
        <v>1</v>
      </c>
      <c r="DR280" s="40">
        <f>PRODUCT(Таблица1[[#This Row],[Столбец4]:[РЕГ НТЛ]])</f>
        <v>0</v>
      </c>
    </row>
    <row r="281" spans="1:122" x14ac:dyDescent="0.25">
      <c r="A281" s="35">
        <v>55</v>
      </c>
      <c r="B281" s="36" t="s">
        <v>228</v>
      </c>
      <c r="C281" s="36" t="s">
        <v>23</v>
      </c>
      <c r="D281" s="36" t="s">
        <v>150</v>
      </c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>
        <v>1</v>
      </c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56">
        <v>0</v>
      </c>
      <c r="DQ281" s="37">
        <v>1</v>
      </c>
      <c r="DR281" s="37">
        <f>PRODUCT(Таблица1[[#This Row],[Столбец4]:[РЕГ НТЛ]])</f>
        <v>0</v>
      </c>
    </row>
    <row r="282" spans="1:122" x14ac:dyDescent="0.25">
      <c r="A282" s="35">
        <v>77</v>
      </c>
      <c r="B282" s="36" t="s">
        <v>280</v>
      </c>
      <c r="C282" s="36" t="s">
        <v>28</v>
      </c>
      <c r="D282" s="36" t="s">
        <v>11</v>
      </c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>
        <v>1</v>
      </c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55">
        <v>12</v>
      </c>
      <c r="DQ282" s="37">
        <v>1</v>
      </c>
      <c r="DR282" s="37">
        <f>PRODUCT(Таблица1[[#This Row],[Столбец4]:[РЕГ НТЛ]])</f>
        <v>12</v>
      </c>
    </row>
    <row r="283" spans="1:122" x14ac:dyDescent="0.25">
      <c r="A283" s="35">
        <v>80</v>
      </c>
      <c r="B283" s="36" t="s">
        <v>315</v>
      </c>
      <c r="C283" s="2" t="s">
        <v>30</v>
      </c>
      <c r="D283" s="36" t="s">
        <v>12</v>
      </c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>
        <v>2</v>
      </c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56">
        <v>8</v>
      </c>
      <c r="DQ283" s="37">
        <v>1</v>
      </c>
      <c r="DR283" s="37">
        <f>PRODUCT(Таблица1[[#This Row],[Столбец4]:[РЕГ НТЛ]])</f>
        <v>8</v>
      </c>
    </row>
    <row r="284" spans="1:122" x14ac:dyDescent="0.25">
      <c r="A284" s="35">
        <v>86</v>
      </c>
      <c r="B284" s="36" t="s">
        <v>310</v>
      </c>
      <c r="C284" s="36" t="s">
        <v>28</v>
      </c>
      <c r="D284" s="36" t="s">
        <v>11</v>
      </c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>
        <v>3</v>
      </c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56">
        <v>8</v>
      </c>
      <c r="DQ284" s="37">
        <v>1</v>
      </c>
      <c r="DR284" s="37">
        <f>PRODUCT(Таблица1[[#This Row],[Столбец4]:[РЕГ НТЛ]])</f>
        <v>8</v>
      </c>
    </row>
    <row r="285" spans="1:122" x14ac:dyDescent="0.25">
      <c r="A285" s="35">
        <v>78</v>
      </c>
      <c r="B285" s="36" t="s">
        <v>227</v>
      </c>
      <c r="C285" s="2" t="s">
        <v>25</v>
      </c>
      <c r="D285" s="36" t="s">
        <v>174</v>
      </c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>
        <v>1</v>
      </c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56">
        <v>18</v>
      </c>
      <c r="DQ285" s="37">
        <v>1</v>
      </c>
      <c r="DR285" s="37">
        <f>PRODUCT(Таблица1[[#This Row],[Столбец4]:[РЕГ НТЛ]])</f>
        <v>18</v>
      </c>
    </row>
    <row r="286" spans="1:122" x14ac:dyDescent="0.25">
      <c r="A286" s="35">
        <v>64</v>
      </c>
      <c r="B286" s="36" t="s">
        <v>222</v>
      </c>
      <c r="C286" s="36" t="s">
        <v>92</v>
      </c>
      <c r="D286" s="36" t="s">
        <v>46</v>
      </c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>
        <v>2</v>
      </c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56">
        <v>12</v>
      </c>
      <c r="DQ286" s="37">
        <v>0</v>
      </c>
      <c r="DR286" s="37">
        <f>PRODUCT(Таблица1[[#This Row],[Столбец4]:[РЕГ НТЛ]])</f>
        <v>0</v>
      </c>
    </row>
    <row r="287" spans="1:122" x14ac:dyDescent="0.25">
      <c r="A287" s="38">
        <v>33</v>
      </c>
      <c r="B287" s="39" t="s">
        <v>220</v>
      </c>
      <c r="C287" s="36" t="s">
        <v>37</v>
      </c>
      <c r="D287" s="39" t="s">
        <v>19</v>
      </c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>
        <v>3</v>
      </c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55">
        <v>12</v>
      </c>
      <c r="DQ287" s="40">
        <v>1</v>
      </c>
      <c r="DR287" s="40">
        <f>PRODUCT(Таблица1[[#This Row],[Столбец4]:[РЕГ НТЛ]])</f>
        <v>12</v>
      </c>
    </row>
    <row r="288" spans="1:122" x14ac:dyDescent="0.25">
      <c r="A288" s="10">
        <v>42</v>
      </c>
      <c r="B288" s="2" t="s">
        <v>263</v>
      </c>
      <c r="C288" s="2" t="s">
        <v>28</v>
      </c>
      <c r="D288" s="2" t="s">
        <v>11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>
        <v>1</v>
      </c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54">
        <v>12</v>
      </c>
      <c r="DQ288" s="23">
        <v>1</v>
      </c>
      <c r="DR288" s="23">
        <f>PRODUCT(Таблица1[[#This Row],[Столбец4]:[РЕГ НТЛ]])</f>
        <v>12</v>
      </c>
    </row>
    <row r="289" spans="1:122" x14ac:dyDescent="0.25">
      <c r="A289" s="10">
        <v>16</v>
      </c>
      <c r="B289" s="2" t="s">
        <v>348</v>
      </c>
      <c r="C289" s="2" t="s">
        <v>25</v>
      </c>
      <c r="D289" s="2" t="s">
        <v>110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>
        <v>2</v>
      </c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57">
        <v>8</v>
      </c>
      <c r="DQ289" s="23">
        <v>1</v>
      </c>
      <c r="DR289" s="23">
        <f>PRODUCT(Таблица1[[#This Row],[Столбец4]:[РЕГ НТЛ]])</f>
        <v>8</v>
      </c>
    </row>
    <row r="290" spans="1:122" x14ac:dyDescent="0.25">
      <c r="A290" s="10">
        <v>37</v>
      </c>
      <c r="B290" s="2" t="s">
        <v>307</v>
      </c>
      <c r="C290" s="2" t="s">
        <v>30</v>
      </c>
      <c r="D290" s="2" t="s">
        <v>12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>
        <v>3</v>
      </c>
      <c r="S290" s="2"/>
      <c r="T290" s="2"/>
      <c r="U290" s="2"/>
      <c r="V290" s="2"/>
      <c r="W290" s="1"/>
      <c r="X290" s="1"/>
      <c r="Y290" s="1"/>
      <c r="Z290" s="1"/>
      <c r="AA290" s="2"/>
      <c r="AB290" s="11"/>
      <c r="AC290" s="12"/>
      <c r="AD290" s="12"/>
      <c r="AE290" s="1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54">
        <v>8</v>
      </c>
      <c r="DQ290" s="23">
        <v>1</v>
      </c>
      <c r="DR290" s="23">
        <f>PRODUCT(Таблица1[[#This Row],[Столбец4]:[РЕГ НТЛ]])</f>
        <v>8</v>
      </c>
    </row>
    <row r="291" spans="1:122" x14ac:dyDescent="0.25">
      <c r="A291" s="10">
        <v>15</v>
      </c>
      <c r="B291" s="2" t="s">
        <v>269</v>
      </c>
      <c r="C291" s="36" t="s">
        <v>23</v>
      </c>
      <c r="D291" s="2" t="s">
        <v>111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>
        <v>4</v>
      </c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54">
        <v>4</v>
      </c>
      <c r="DQ291" s="23">
        <v>1</v>
      </c>
      <c r="DR291" s="23">
        <f>PRODUCT(Таблица1[[#This Row],[Столбец4]:[РЕГ НТЛ]])</f>
        <v>4</v>
      </c>
    </row>
    <row r="292" spans="1:122" x14ac:dyDescent="0.25">
      <c r="A292" s="10">
        <v>25</v>
      </c>
      <c r="B292" s="2" t="s">
        <v>323</v>
      </c>
      <c r="C292" s="2" t="s">
        <v>25</v>
      </c>
      <c r="D292" s="2" t="s">
        <v>13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>
        <v>5</v>
      </c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54">
        <v>4</v>
      </c>
      <c r="DQ292" s="23">
        <v>0</v>
      </c>
      <c r="DR292" s="23">
        <f>PRODUCT(Таблица1[[#This Row],[Столбец4]:[РЕГ НТЛ]])</f>
        <v>0</v>
      </c>
    </row>
    <row r="293" spans="1:122" x14ac:dyDescent="0.25">
      <c r="A293" s="10">
        <v>17</v>
      </c>
      <c r="B293" s="2" t="s">
        <v>349</v>
      </c>
      <c r="C293" s="2" t="s">
        <v>25</v>
      </c>
      <c r="D293" s="2" t="s">
        <v>110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>
        <v>6</v>
      </c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1"/>
      <c r="AH293" s="1"/>
      <c r="AI293" s="1"/>
      <c r="AJ293" s="1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14"/>
      <c r="CM293" s="2"/>
      <c r="CN293" s="2"/>
      <c r="CO293" s="2"/>
      <c r="CP293" s="2"/>
      <c r="CQ293" s="14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57">
        <v>4</v>
      </c>
      <c r="DQ293" s="23">
        <v>1</v>
      </c>
      <c r="DR293" s="23">
        <f>PRODUCT(Таблица1[[#This Row],[Столбец4]:[РЕГ НТЛ]])</f>
        <v>4</v>
      </c>
    </row>
    <row r="294" spans="1:122" x14ac:dyDescent="0.25">
      <c r="A294" s="35">
        <v>279</v>
      </c>
      <c r="B294" s="36" t="s">
        <v>251</v>
      </c>
      <c r="C294" s="36" t="s">
        <v>35</v>
      </c>
      <c r="D294" s="36" t="s">
        <v>20</v>
      </c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>
        <v>6</v>
      </c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56">
        <v>0</v>
      </c>
      <c r="DQ294" s="37">
        <v>1</v>
      </c>
      <c r="DR294" s="37">
        <f>PRODUCT(Таблица1[[#This Row],[Столбец4]:[РЕГ НТЛ]])</f>
        <v>0</v>
      </c>
    </row>
    <row r="295" spans="1:122" x14ac:dyDescent="0.25">
      <c r="A295" s="35">
        <v>279</v>
      </c>
      <c r="B295" s="36" t="s">
        <v>251</v>
      </c>
      <c r="C295" s="36" t="s">
        <v>35</v>
      </c>
      <c r="D295" s="36" t="s">
        <v>20</v>
      </c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>
        <v>7</v>
      </c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55">
        <v>0</v>
      </c>
      <c r="DQ295" s="37">
        <v>1</v>
      </c>
      <c r="DR295" s="37">
        <f>PRODUCT(Таблица1[[#This Row],[Столбец4]:[РЕГ НТЛ]])</f>
        <v>0</v>
      </c>
    </row>
    <row r="296" spans="1:122" x14ac:dyDescent="0.25">
      <c r="A296" s="35">
        <v>63</v>
      </c>
      <c r="B296" s="36" t="s">
        <v>252</v>
      </c>
      <c r="C296" s="36" t="s">
        <v>23</v>
      </c>
      <c r="D296" s="36" t="s">
        <v>27</v>
      </c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>
        <v>9.1999999999999993</v>
      </c>
      <c r="AS296" s="36">
        <v>8.8000000000000007</v>
      </c>
      <c r="AT296" s="36">
        <v>9.6</v>
      </c>
      <c r="AU296" s="36">
        <v>9.4</v>
      </c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55">
        <v>0</v>
      </c>
      <c r="DQ296" s="37">
        <v>1</v>
      </c>
      <c r="DR296" s="37">
        <f>PRODUCT(Таблица1[[#This Row],[Столбец4]:[РЕГ НТЛ]])</f>
        <v>0</v>
      </c>
    </row>
    <row r="297" spans="1:122" x14ac:dyDescent="0.25">
      <c r="A297" s="10">
        <v>21</v>
      </c>
      <c r="B297" s="2" t="s">
        <v>253</v>
      </c>
      <c r="C297" s="2" t="s">
        <v>40</v>
      </c>
      <c r="D297" s="2" t="s">
        <v>41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>
        <v>9.6</v>
      </c>
      <c r="P297" s="2">
        <v>9.6</v>
      </c>
      <c r="Q297" s="2">
        <v>9.4</v>
      </c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55">
        <v>0</v>
      </c>
      <c r="DQ297" s="37">
        <v>0</v>
      </c>
      <c r="DR297" s="23">
        <f>PRODUCT(Таблица1[[#This Row],[Столбец4]:[РЕГ НТЛ]])</f>
        <v>0</v>
      </c>
    </row>
    <row r="298" spans="1:122" x14ac:dyDescent="0.25">
      <c r="A298" s="10">
        <v>21</v>
      </c>
      <c r="B298" s="2" t="s">
        <v>215</v>
      </c>
      <c r="C298" s="2" t="s">
        <v>40</v>
      </c>
      <c r="D298" s="2" t="s">
        <v>41</v>
      </c>
      <c r="E298" s="8"/>
      <c r="F298" s="2"/>
      <c r="G298" s="2"/>
      <c r="H298" s="2"/>
      <c r="I298" s="2"/>
      <c r="J298" s="2"/>
      <c r="K298" s="2"/>
      <c r="L298" s="2">
        <v>8.1999999999999993</v>
      </c>
      <c r="M298" s="2">
        <v>9</v>
      </c>
      <c r="N298" s="2">
        <v>9.1999999999999993</v>
      </c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56">
        <v>0</v>
      </c>
      <c r="DQ298" s="37">
        <v>0</v>
      </c>
      <c r="DR298" s="23">
        <f>PRODUCT(Таблица1[[#This Row],[Столбец4]:[РЕГ НТЛ]])</f>
        <v>0</v>
      </c>
    </row>
    <row r="299" spans="1:122" x14ac:dyDescent="0.25">
      <c r="A299" s="35">
        <v>21</v>
      </c>
      <c r="B299" s="36" t="s">
        <v>215</v>
      </c>
      <c r="C299" s="2" t="s">
        <v>40</v>
      </c>
      <c r="D299" s="36" t="s">
        <v>14</v>
      </c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>
        <v>1</v>
      </c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56">
        <v>12</v>
      </c>
      <c r="DQ299" s="37">
        <v>0</v>
      </c>
      <c r="DR299" s="37">
        <f>PRODUCT(Таблица1[[#This Row],[Столбец4]:[РЕГ НТЛ]])</f>
        <v>0</v>
      </c>
    </row>
    <row r="300" spans="1:122" x14ac:dyDescent="0.25">
      <c r="A300" s="10">
        <v>5</v>
      </c>
      <c r="B300" s="2" t="s">
        <v>254</v>
      </c>
      <c r="C300" s="2" t="s">
        <v>30</v>
      </c>
      <c r="D300" s="2" t="s">
        <v>31</v>
      </c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>
        <v>9.1999999999999993</v>
      </c>
      <c r="P300" s="2">
        <v>9</v>
      </c>
      <c r="Q300" s="2">
        <v>9.4</v>
      </c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56">
        <v>0</v>
      </c>
      <c r="DQ300" s="23">
        <v>1</v>
      </c>
      <c r="DR300" s="23">
        <f>PRODUCT(Таблица1[[#This Row],[Столбец4]:[РЕГ НТЛ]])</f>
        <v>0</v>
      </c>
    </row>
    <row r="301" spans="1:122" x14ac:dyDescent="0.25">
      <c r="A301" s="38">
        <v>87</v>
      </c>
      <c r="B301" s="39" t="s">
        <v>255</v>
      </c>
      <c r="C301" s="36" t="s">
        <v>28</v>
      </c>
      <c r="D301" s="39" t="s">
        <v>29</v>
      </c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>
        <v>9</v>
      </c>
      <c r="CK301" s="39">
        <v>8.4</v>
      </c>
      <c r="CL301" s="39">
        <v>9</v>
      </c>
      <c r="CM301" s="39">
        <v>8.1999999999999993</v>
      </c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58">
        <v>0</v>
      </c>
      <c r="DQ301" s="40">
        <v>1</v>
      </c>
      <c r="DR301" s="40">
        <f>PRODUCT(Таблица1[[#This Row],[Столбец4]:[РЕГ НТЛ]])</f>
        <v>0</v>
      </c>
    </row>
    <row r="302" spans="1:122" x14ac:dyDescent="0.25">
      <c r="A302" s="35">
        <v>87</v>
      </c>
      <c r="B302" s="36" t="s">
        <v>255</v>
      </c>
      <c r="C302" s="36" t="s">
        <v>28</v>
      </c>
      <c r="D302" s="36" t="s">
        <v>29</v>
      </c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>
        <v>9.1999999999999993</v>
      </c>
      <c r="CO302" s="36">
        <v>9.1999999999999993</v>
      </c>
      <c r="CP302" s="36">
        <v>9.1999999999999993</v>
      </c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56">
        <v>0</v>
      </c>
      <c r="DQ302" s="37">
        <v>1</v>
      </c>
      <c r="DR302" s="37">
        <f>PRODUCT(Таблица1[[#This Row],[Столбец4]:[РЕГ НТЛ]])</f>
        <v>0</v>
      </c>
    </row>
    <row r="303" spans="1:122" x14ac:dyDescent="0.25">
      <c r="A303" s="35">
        <v>87</v>
      </c>
      <c r="B303" s="36" t="s">
        <v>255</v>
      </c>
      <c r="C303" s="36" t="s">
        <v>28</v>
      </c>
      <c r="D303" s="36" t="s">
        <v>11</v>
      </c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>
        <v>1</v>
      </c>
      <c r="DG303" s="36"/>
      <c r="DH303" s="36"/>
      <c r="DI303" s="36"/>
      <c r="DJ303" s="36"/>
      <c r="DK303" s="36"/>
      <c r="DL303" s="36"/>
      <c r="DM303" s="36"/>
      <c r="DN303" s="36"/>
      <c r="DO303" s="36"/>
      <c r="DP303" s="56">
        <v>0</v>
      </c>
      <c r="DQ303" s="37">
        <v>1</v>
      </c>
      <c r="DR303" s="37">
        <f>PRODUCT(Таблица1[[#This Row],[Столбец4]:[РЕГ НТЛ]])</f>
        <v>0</v>
      </c>
    </row>
    <row r="304" spans="1:122" x14ac:dyDescent="0.25">
      <c r="A304" s="38">
        <v>113</v>
      </c>
      <c r="B304" s="39" t="s">
        <v>229</v>
      </c>
      <c r="C304" s="36" t="s">
        <v>28</v>
      </c>
      <c r="D304" s="39" t="s">
        <v>11</v>
      </c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>
        <v>1</v>
      </c>
      <c r="DJ304" s="39"/>
      <c r="DK304" s="39"/>
      <c r="DL304" s="39"/>
      <c r="DM304" s="39"/>
      <c r="DN304" s="39"/>
      <c r="DO304" s="39"/>
      <c r="DP304" s="55">
        <v>12</v>
      </c>
      <c r="DQ304" s="40">
        <v>1</v>
      </c>
      <c r="DR304" s="40">
        <f>PRODUCT(Таблица1[[#This Row],[Столбец4]:[РЕГ НТЛ]])</f>
        <v>12</v>
      </c>
    </row>
    <row r="305" spans="1:122" x14ac:dyDescent="0.25">
      <c r="A305" s="35">
        <v>113</v>
      </c>
      <c r="B305" s="36" t="s">
        <v>229</v>
      </c>
      <c r="C305" s="36" t="s">
        <v>28</v>
      </c>
      <c r="D305" s="36" t="s">
        <v>11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>
        <v>1</v>
      </c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55">
        <v>0</v>
      </c>
      <c r="DQ305" s="37">
        <v>1</v>
      </c>
      <c r="DR305" s="37">
        <f>PRODUCT(Таблица1[[#This Row],[Столбец4]:[РЕГ НТЛ]])</f>
        <v>0</v>
      </c>
    </row>
    <row r="306" spans="1:122" x14ac:dyDescent="0.25">
      <c r="A306" s="35">
        <v>113</v>
      </c>
      <c r="B306" s="36" t="s">
        <v>229</v>
      </c>
      <c r="C306" s="36" t="s">
        <v>28</v>
      </c>
      <c r="D306" s="36" t="s">
        <v>11</v>
      </c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>
        <v>3</v>
      </c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55">
        <v>0</v>
      </c>
      <c r="DQ306" s="37">
        <v>1</v>
      </c>
      <c r="DR306" s="37">
        <f>PRODUCT(Таблица1[[#This Row],[Столбец4]:[РЕГ НТЛ]])</f>
        <v>0</v>
      </c>
    </row>
    <row r="307" spans="1:122" x14ac:dyDescent="0.25">
      <c r="A307" s="35">
        <v>113</v>
      </c>
      <c r="B307" s="36" t="s">
        <v>229</v>
      </c>
      <c r="C307" s="36" t="s">
        <v>28</v>
      </c>
      <c r="D307" s="36" t="s">
        <v>11</v>
      </c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>
        <v>1</v>
      </c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55">
        <v>0</v>
      </c>
      <c r="DQ307" s="37">
        <v>1</v>
      </c>
      <c r="DR307" s="37">
        <f>PRODUCT(Таблица1[[#This Row],[Столбец4]:[РЕГ НТЛ]])</f>
        <v>0</v>
      </c>
    </row>
    <row r="308" spans="1:122" x14ac:dyDescent="0.25">
      <c r="A308" s="10">
        <v>22</v>
      </c>
      <c r="B308" s="2" t="s">
        <v>256</v>
      </c>
      <c r="C308" s="2" t="s">
        <v>30</v>
      </c>
      <c r="D308" s="2" t="s">
        <v>31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>
        <v>8</v>
      </c>
      <c r="P308" s="2">
        <v>8</v>
      </c>
      <c r="Q308" s="2">
        <v>8.6</v>
      </c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1"/>
      <c r="AH308" s="1"/>
      <c r="AI308" s="1"/>
      <c r="AJ308" s="1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14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56">
        <v>0</v>
      </c>
      <c r="DQ308" s="23">
        <v>1</v>
      </c>
      <c r="DR308" s="23">
        <f>PRODUCT(Таблица1[[#This Row],[Столбец4]:[РЕГ НТЛ]])</f>
        <v>0</v>
      </c>
    </row>
    <row r="309" spans="1:122" x14ac:dyDescent="0.25">
      <c r="A309" s="10">
        <v>40</v>
      </c>
      <c r="B309" s="2" t="s">
        <v>257</v>
      </c>
      <c r="C309" s="2" t="s">
        <v>28</v>
      </c>
      <c r="D309" s="2" t="s">
        <v>29</v>
      </c>
      <c r="E309" s="2"/>
      <c r="F309" s="2"/>
      <c r="G309" s="2"/>
      <c r="H309" s="2">
        <v>9.1999999999999993</v>
      </c>
      <c r="I309" s="2">
        <v>9.1999999999999993</v>
      </c>
      <c r="J309" s="2">
        <v>9.1999999999999993</v>
      </c>
      <c r="K309" s="2">
        <v>9.4</v>
      </c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56">
        <v>0</v>
      </c>
      <c r="DQ309" s="23">
        <v>1</v>
      </c>
      <c r="DR309" s="23">
        <f>PRODUCT(Таблица1[[#This Row],[Столбец4]:[РЕГ НТЛ]])</f>
        <v>0</v>
      </c>
    </row>
    <row r="310" spans="1:122" x14ac:dyDescent="0.25">
      <c r="A310" s="38">
        <v>51</v>
      </c>
      <c r="B310" s="39" t="s">
        <v>259</v>
      </c>
      <c r="C310" s="36" t="s">
        <v>40</v>
      </c>
      <c r="D310" s="39" t="s">
        <v>41</v>
      </c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>
        <v>8.8000000000000007</v>
      </c>
      <c r="AZ310" s="39">
        <v>9</v>
      </c>
      <c r="BA310" s="39">
        <v>8.8000000000000007</v>
      </c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55">
        <v>0</v>
      </c>
      <c r="DQ310" s="40">
        <v>0</v>
      </c>
      <c r="DR310" s="40">
        <f>PRODUCT(Таблица1[[#This Row],[Столбец4]:[РЕГ НТЛ]])</f>
        <v>0</v>
      </c>
    </row>
    <row r="311" spans="1:122" x14ac:dyDescent="0.25">
      <c r="A311" s="35">
        <v>51</v>
      </c>
      <c r="B311" s="36" t="s">
        <v>259</v>
      </c>
      <c r="C311" s="2" t="s">
        <v>40</v>
      </c>
      <c r="D311" s="36" t="s">
        <v>14</v>
      </c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>
        <v>8</v>
      </c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55">
        <v>0</v>
      </c>
      <c r="DQ311" s="37">
        <v>0</v>
      </c>
      <c r="DR311" s="37">
        <f>PRODUCT(Таблица1[[#This Row],[Столбец4]:[РЕГ НТЛ]])</f>
        <v>0</v>
      </c>
    </row>
    <row r="312" spans="1:122" x14ac:dyDescent="0.25">
      <c r="A312" s="35">
        <v>51</v>
      </c>
      <c r="B312" s="36" t="s">
        <v>259</v>
      </c>
      <c r="C312" s="2" t="s">
        <v>40</v>
      </c>
      <c r="D312" s="36" t="s">
        <v>14</v>
      </c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>
        <v>4</v>
      </c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55">
        <v>0</v>
      </c>
      <c r="DQ312" s="37">
        <v>0</v>
      </c>
      <c r="DR312" s="37">
        <f>PRODUCT(Таблица1[[#This Row],[Столбец4]:[РЕГ НТЛ]])</f>
        <v>0</v>
      </c>
    </row>
    <row r="313" spans="1:122" x14ac:dyDescent="0.25">
      <c r="A313" s="35">
        <v>51</v>
      </c>
      <c r="B313" s="36" t="s">
        <v>259</v>
      </c>
      <c r="C313" s="2" t="s">
        <v>40</v>
      </c>
      <c r="D313" s="36" t="s">
        <v>14</v>
      </c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 t="s">
        <v>69</v>
      </c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55">
        <v>0</v>
      </c>
      <c r="DQ313" s="37">
        <v>0</v>
      </c>
      <c r="DR313" s="37">
        <f>PRODUCT(Таблица1[[#This Row],[Столбец4]:[РЕГ НТЛ]])</f>
        <v>0</v>
      </c>
    </row>
    <row r="314" spans="1:122" x14ac:dyDescent="0.25">
      <c r="A314" s="35">
        <v>109</v>
      </c>
      <c r="B314" s="36" t="s">
        <v>260</v>
      </c>
      <c r="C314" s="2" t="s">
        <v>30</v>
      </c>
      <c r="D314" s="36" t="s">
        <v>12</v>
      </c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>
        <v>2</v>
      </c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55">
        <v>0</v>
      </c>
      <c r="DQ314" s="37">
        <v>1</v>
      </c>
      <c r="DR314" s="37">
        <f>PRODUCT(Таблица1[[#This Row],[Столбец4]:[РЕГ НТЛ]])</f>
        <v>0</v>
      </c>
    </row>
    <row r="315" spans="1:122" x14ac:dyDescent="0.25">
      <c r="A315" s="38">
        <v>109</v>
      </c>
      <c r="B315" s="39" t="s">
        <v>230</v>
      </c>
      <c r="C315" s="2" t="s">
        <v>30</v>
      </c>
      <c r="D315" s="39" t="s">
        <v>12</v>
      </c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>
        <v>3</v>
      </c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55">
        <v>0</v>
      </c>
      <c r="DQ315" s="40">
        <v>1</v>
      </c>
      <c r="DR315" s="40">
        <f>PRODUCT(Таблица1[[#This Row],[Столбец4]:[РЕГ НТЛ]])</f>
        <v>0</v>
      </c>
    </row>
    <row r="316" spans="1:122" x14ac:dyDescent="0.25">
      <c r="A316" s="35">
        <v>109</v>
      </c>
      <c r="B316" s="36" t="s">
        <v>230</v>
      </c>
      <c r="C316" s="2" t="s">
        <v>30</v>
      </c>
      <c r="D316" s="36" t="s">
        <v>12</v>
      </c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>
        <v>2</v>
      </c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56">
        <v>0</v>
      </c>
      <c r="DQ316" s="37">
        <v>1</v>
      </c>
      <c r="DR316" s="37">
        <f>PRODUCT(Таблица1[[#This Row],[Столбец4]:[РЕГ НТЛ]])</f>
        <v>0</v>
      </c>
    </row>
    <row r="317" spans="1:122" x14ac:dyDescent="0.25">
      <c r="A317" s="35">
        <v>109</v>
      </c>
      <c r="B317" s="36" t="s">
        <v>230</v>
      </c>
      <c r="C317" s="2" t="s">
        <v>30</v>
      </c>
      <c r="D317" s="36" t="s">
        <v>12</v>
      </c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>
        <v>2</v>
      </c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56">
        <v>0</v>
      </c>
      <c r="DQ317" s="37">
        <v>1</v>
      </c>
      <c r="DR317" s="37">
        <f>PRODUCT(Таблица1[[#This Row],[Столбец4]:[РЕГ НТЛ]])</f>
        <v>0</v>
      </c>
    </row>
    <row r="318" spans="1:122" x14ac:dyDescent="0.25">
      <c r="A318" s="35">
        <v>109</v>
      </c>
      <c r="B318" s="36" t="s">
        <v>230</v>
      </c>
      <c r="C318" s="2" t="s">
        <v>30</v>
      </c>
      <c r="D318" s="36" t="s">
        <v>12</v>
      </c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>
        <v>3</v>
      </c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55">
        <v>0</v>
      </c>
      <c r="DQ318" s="37">
        <v>1</v>
      </c>
      <c r="DR318" s="37">
        <f>PRODUCT(Таблица1[[#This Row],[Столбец4]:[РЕГ НТЛ]])</f>
        <v>0</v>
      </c>
    </row>
    <row r="319" spans="1:122" x14ac:dyDescent="0.25">
      <c r="A319" s="10">
        <v>14</v>
      </c>
      <c r="B319" s="2" t="s">
        <v>261</v>
      </c>
      <c r="C319" s="2" t="s">
        <v>40</v>
      </c>
      <c r="D319" s="2" t="s">
        <v>41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>
        <v>8.8000000000000007</v>
      </c>
      <c r="P319" s="2">
        <v>8.8000000000000007</v>
      </c>
      <c r="Q319" s="2">
        <v>9.6</v>
      </c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1"/>
      <c r="AH319" s="1"/>
      <c r="AI319" s="1"/>
      <c r="AJ319" s="1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14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55">
        <v>0</v>
      </c>
      <c r="DQ319" s="37">
        <v>0</v>
      </c>
      <c r="DR319" s="23">
        <f>PRODUCT(Таблица1[[#This Row],[Столбец4]:[РЕГ НТЛ]])</f>
        <v>0</v>
      </c>
    </row>
    <row r="320" spans="1:122" x14ac:dyDescent="0.25">
      <c r="A320" s="10">
        <v>26</v>
      </c>
      <c r="B320" s="2" t="s">
        <v>262</v>
      </c>
      <c r="C320" s="2" t="s">
        <v>28</v>
      </c>
      <c r="D320" s="2" t="s">
        <v>29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>
        <v>8.4</v>
      </c>
      <c r="P320" s="2">
        <v>8.4</v>
      </c>
      <c r="Q320" s="2">
        <v>8.6</v>
      </c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55">
        <v>0</v>
      </c>
      <c r="DQ320" s="23">
        <v>0</v>
      </c>
      <c r="DR320" s="23">
        <f>PRODUCT(Таблица1[[#This Row],[Столбец4]:[РЕГ НТЛ]])</f>
        <v>0</v>
      </c>
    </row>
    <row r="321" spans="1:122" x14ac:dyDescent="0.25">
      <c r="A321" s="10">
        <v>42</v>
      </c>
      <c r="B321" s="2" t="s">
        <v>263</v>
      </c>
      <c r="C321" s="2" t="s">
        <v>28</v>
      </c>
      <c r="D321" s="2" t="s">
        <v>11</v>
      </c>
      <c r="E321" s="2">
        <v>1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1"/>
      <c r="X321" s="1"/>
      <c r="Y321" s="1"/>
      <c r="Z321" s="1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56">
        <v>0</v>
      </c>
      <c r="DQ321" s="23">
        <v>1</v>
      </c>
      <c r="DR321" s="23">
        <f>PRODUCT(Таблица1[[#This Row],[Столбец4]:[РЕГ НТЛ]])</f>
        <v>0</v>
      </c>
    </row>
    <row r="322" spans="1:122" x14ac:dyDescent="0.25">
      <c r="A322" s="44">
        <v>42</v>
      </c>
      <c r="B322" s="19" t="s">
        <v>263</v>
      </c>
      <c r="C322" s="2" t="s">
        <v>28</v>
      </c>
      <c r="D322" s="19" t="s">
        <v>11</v>
      </c>
      <c r="E322" s="19"/>
      <c r="F322" s="19">
        <v>1</v>
      </c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46"/>
      <c r="X322" s="46"/>
      <c r="Y322" s="46"/>
      <c r="Z322" s="46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55">
        <v>0</v>
      </c>
      <c r="DQ322" s="24">
        <v>1</v>
      </c>
      <c r="DR322" s="24">
        <f>PRODUCT(Таблица1[[#This Row],[Столбец4]:[РЕГ НТЛ]])</f>
        <v>0</v>
      </c>
    </row>
    <row r="323" spans="1:122" x14ac:dyDescent="0.25">
      <c r="A323" s="10">
        <v>42</v>
      </c>
      <c r="B323" s="2" t="s">
        <v>263</v>
      </c>
      <c r="C323" s="2" t="s">
        <v>28</v>
      </c>
      <c r="D323" s="2" t="s">
        <v>11</v>
      </c>
      <c r="E323" s="2"/>
      <c r="F323" s="2"/>
      <c r="G323" s="2">
        <v>2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1"/>
      <c r="X323" s="1"/>
      <c r="Y323" s="1"/>
      <c r="Z323" s="1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55">
        <v>0</v>
      </c>
      <c r="DQ323" s="23">
        <v>1</v>
      </c>
      <c r="DR323" s="23">
        <f>PRODUCT(Таблица1[[#This Row],[Столбец4]:[РЕГ НТЛ]])</f>
        <v>0</v>
      </c>
    </row>
    <row r="324" spans="1:122" x14ac:dyDescent="0.25">
      <c r="A324" s="38">
        <v>65</v>
      </c>
      <c r="B324" s="39" t="s">
        <v>264</v>
      </c>
      <c r="C324" s="36" t="s">
        <v>32</v>
      </c>
      <c r="D324" s="39" t="s">
        <v>162</v>
      </c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>
        <v>9.8000000000000007</v>
      </c>
      <c r="AZ324" s="39">
        <v>8.8000000000000007</v>
      </c>
      <c r="BA324" s="39">
        <v>9.6</v>
      </c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55">
        <v>0</v>
      </c>
      <c r="DQ324" s="40">
        <v>0</v>
      </c>
      <c r="DR324" s="40">
        <f>PRODUCT(Таблица1[[#This Row],[Столбец4]:[РЕГ НТЛ]])</f>
        <v>0</v>
      </c>
    </row>
    <row r="325" spans="1:122" x14ac:dyDescent="0.25">
      <c r="A325" s="35">
        <v>65</v>
      </c>
      <c r="B325" s="36" t="s">
        <v>264</v>
      </c>
      <c r="C325" s="36" t="s">
        <v>32</v>
      </c>
      <c r="D325" s="36" t="s">
        <v>146</v>
      </c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>
        <v>8</v>
      </c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56">
        <v>0</v>
      </c>
      <c r="DQ325" s="37">
        <v>0</v>
      </c>
      <c r="DR325" s="37">
        <f>PRODUCT(Таблица1[[#This Row],[Столбец4]:[РЕГ НТЛ]])</f>
        <v>0</v>
      </c>
    </row>
    <row r="326" spans="1:122" x14ac:dyDescent="0.25">
      <c r="A326" s="10">
        <v>47</v>
      </c>
      <c r="B326" s="2" t="s">
        <v>265</v>
      </c>
      <c r="C326" s="2" t="s">
        <v>40</v>
      </c>
      <c r="D326" s="2" t="s">
        <v>41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>
        <v>9.6</v>
      </c>
      <c r="P326" s="2">
        <v>9.6</v>
      </c>
      <c r="Q326" s="2">
        <v>9</v>
      </c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56">
        <v>0</v>
      </c>
      <c r="DQ326" s="37">
        <v>0</v>
      </c>
      <c r="DR326" s="23">
        <f>PRODUCT(Таблица1[[#This Row],[Столбец4]:[РЕГ НТЛ]])</f>
        <v>0</v>
      </c>
    </row>
    <row r="327" spans="1:122" x14ac:dyDescent="0.25">
      <c r="A327" s="44">
        <v>47</v>
      </c>
      <c r="B327" s="19" t="s">
        <v>265</v>
      </c>
      <c r="C327" s="2" t="s">
        <v>40</v>
      </c>
      <c r="D327" s="19" t="s">
        <v>14</v>
      </c>
      <c r="E327" s="19"/>
      <c r="F327" s="19"/>
      <c r="G327" s="19">
        <v>7</v>
      </c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47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55">
        <v>0</v>
      </c>
      <c r="DQ327" s="40">
        <v>0</v>
      </c>
      <c r="DR327" s="24">
        <f>PRODUCT(Таблица1[[#This Row],[Столбец4]:[РЕГ НТЛ]])</f>
        <v>0</v>
      </c>
    </row>
    <row r="328" spans="1:122" x14ac:dyDescent="0.25">
      <c r="A328" s="10">
        <v>275</v>
      </c>
      <c r="B328" s="2" t="s">
        <v>266</v>
      </c>
      <c r="C328" s="2" t="s">
        <v>23</v>
      </c>
      <c r="D328" s="2" t="s">
        <v>27</v>
      </c>
      <c r="E328" s="2"/>
      <c r="F328" s="2"/>
      <c r="G328" s="2"/>
      <c r="H328" s="2">
        <v>8.4</v>
      </c>
      <c r="I328" s="2">
        <v>8.4</v>
      </c>
      <c r="J328" s="2">
        <v>8.8000000000000007</v>
      </c>
      <c r="K328" s="2">
        <v>8.1999999999999993</v>
      </c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55">
        <v>0</v>
      </c>
      <c r="DQ328" s="23">
        <v>1</v>
      </c>
      <c r="DR328" s="23">
        <f>PRODUCT(Таблица1[[#This Row],[Столбец4]:[РЕГ НТЛ]])</f>
        <v>0</v>
      </c>
    </row>
    <row r="329" spans="1:122" x14ac:dyDescent="0.25">
      <c r="A329" s="10">
        <v>31</v>
      </c>
      <c r="B329" s="2" t="s">
        <v>267</v>
      </c>
      <c r="C329" s="2" t="s">
        <v>28</v>
      </c>
      <c r="D329" s="2" t="s">
        <v>29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>
        <v>9.1999999999999993</v>
      </c>
      <c r="P329" s="2">
        <v>8.8000000000000007</v>
      </c>
      <c r="Q329" s="2">
        <v>9</v>
      </c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1"/>
      <c r="AH329" s="1"/>
      <c r="AI329" s="1"/>
      <c r="AJ329" s="1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55">
        <v>0</v>
      </c>
      <c r="DQ329" s="23">
        <v>1</v>
      </c>
      <c r="DR329" s="23">
        <f>PRODUCT(Таблица1[[#This Row],[Столбец4]:[РЕГ НТЛ]])</f>
        <v>0</v>
      </c>
    </row>
    <row r="330" spans="1:122" x14ac:dyDescent="0.25">
      <c r="A330" s="35">
        <v>94</v>
      </c>
      <c r="B330" s="36" t="s">
        <v>268</v>
      </c>
      <c r="C330" s="36" t="s">
        <v>28</v>
      </c>
      <c r="D330" s="36" t="s">
        <v>29</v>
      </c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>
        <v>9</v>
      </c>
      <c r="CK330" s="36">
        <v>8</v>
      </c>
      <c r="CL330" s="36">
        <v>9</v>
      </c>
      <c r="CM330" s="36">
        <v>8</v>
      </c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56">
        <v>0</v>
      </c>
      <c r="DQ330" s="37">
        <v>1</v>
      </c>
      <c r="DR330" s="37">
        <f>PRODUCT(Таблица1[[#This Row],[Столбец4]:[РЕГ НТЛ]])</f>
        <v>0</v>
      </c>
    </row>
    <row r="331" spans="1:122" x14ac:dyDescent="0.25">
      <c r="A331" s="35">
        <v>94</v>
      </c>
      <c r="B331" s="36" t="s">
        <v>268</v>
      </c>
      <c r="C331" s="36" t="s">
        <v>28</v>
      </c>
      <c r="D331" s="36" t="s">
        <v>29</v>
      </c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>
        <v>9</v>
      </c>
      <c r="CO331" s="36">
        <v>9.1999999999999993</v>
      </c>
      <c r="CP331" s="36">
        <v>9</v>
      </c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56">
        <v>0</v>
      </c>
      <c r="DQ331" s="37">
        <v>1</v>
      </c>
      <c r="DR331" s="37">
        <f>PRODUCT(Таблица1[[#This Row],[Столбец4]:[РЕГ НТЛ]])</f>
        <v>0</v>
      </c>
    </row>
    <row r="332" spans="1:122" x14ac:dyDescent="0.25">
      <c r="A332" s="10">
        <v>15</v>
      </c>
      <c r="B332" s="2" t="s">
        <v>269</v>
      </c>
      <c r="C332" s="36" t="s">
        <v>23</v>
      </c>
      <c r="D332" s="2" t="s">
        <v>111</v>
      </c>
      <c r="E332" s="2">
        <v>5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14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55">
        <v>0</v>
      </c>
      <c r="DQ332" s="23">
        <v>1</v>
      </c>
      <c r="DR332" s="23">
        <f>PRODUCT(Таблица1[[#This Row],[Столбец4]:[РЕГ НТЛ]])</f>
        <v>0</v>
      </c>
    </row>
    <row r="333" spans="1:122" x14ac:dyDescent="0.25">
      <c r="A333" s="10">
        <v>15</v>
      </c>
      <c r="B333" s="2" t="s">
        <v>269</v>
      </c>
      <c r="C333" s="36" t="s">
        <v>23</v>
      </c>
      <c r="D333" s="2" t="s">
        <v>111</v>
      </c>
      <c r="E333" s="2"/>
      <c r="F333" s="2">
        <v>5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55">
        <v>0</v>
      </c>
      <c r="DQ333" s="23">
        <v>1</v>
      </c>
      <c r="DR333" s="23">
        <f>PRODUCT(Таблица1[[#This Row],[Столбец4]:[РЕГ НТЛ]])</f>
        <v>0</v>
      </c>
    </row>
    <row r="334" spans="1:122" x14ac:dyDescent="0.25">
      <c r="A334" s="35">
        <v>111</v>
      </c>
      <c r="B334" s="36" t="s">
        <v>270</v>
      </c>
      <c r="C334" s="36" t="s">
        <v>28</v>
      </c>
      <c r="D334" s="36" t="s">
        <v>11</v>
      </c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>
        <v>1</v>
      </c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55">
        <v>0</v>
      </c>
      <c r="DQ334" s="37">
        <v>1</v>
      </c>
      <c r="DR334" s="37">
        <f>PRODUCT(Таблица1[[#This Row],[Столбец4]:[РЕГ НТЛ]])</f>
        <v>0</v>
      </c>
    </row>
    <row r="335" spans="1:122" x14ac:dyDescent="0.25">
      <c r="A335" s="38">
        <v>111</v>
      </c>
      <c r="B335" s="36" t="s">
        <v>270</v>
      </c>
      <c r="C335" s="36" t="s">
        <v>28</v>
      </c>
      <c r="D335" s="39" t="s">
        <v>11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>
        <v>1</v>
      </c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58">
        <v>0</v>
      </c>
      <c r="DQ335" s="40">
        <v>1</v>
      </c>
      <c r="DR335" s="40">
        <f>PRODUCT(Таблица1[[#This Row],[Столбец4]:[РЕГ НТЛ]])</f>
        <v>0</v>
      </c>
    </row>
    <row r="336" spans="1:122" x14ac:dyDescent="0.25">
      <c r="A336" s="35">
        <v>84</v>
      </c>
      <c r="B336" s="36" t="s">
        <v>271</v>
      </c>
      <c r="C336" s="36" t="s">
        <v>23</v>
      </c>
      <c r="D336" s="36" t="s">
        <v>155</v>
      </c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>
        <v>8.6</v>
      </c>
      <c r="AM336" s="36">
        <v>9</v>
      </c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56">
        <v>0</v>
      </c>
      <c r="DQ336" s="37">
        <v>1</v>
      </c>
      <c r="DR336" s="37">
        <f>PRODUCT(Таблица1[[#This Row],[Столбец4]:[РЕГ НТЛ]])</f>
        <v>0</v>
      </c>
    </row>
    <row r="337" spans="1:122" x14ac:dyDescent="0.25">
      <c r="A337" s="10">
        <v>30</v>
      </c>
      <c r="B337" s="2" t="s">
        <v>272</v>
      </c>
      <c r="C337" s="2" t="s">
        <v>131</v>
      </c>
      <c r="D337" s="2" t="s">
        <v>132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>
        <v>9</v>
      </c>
      <c r="P337" s="2">
        <v>8.6</v>
      </c>
      <c r="Q337" s="2">
        <v>8.8000000000000007</v>
      </c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56">
        <v>0</v>
      </c>
      <c r="DQ337" s="23">
        <v>0</v>
      </c>
      <c r="DR337" s="23">
        <f>PRODUCT(Таблица1[[#This Row],[Столбец4]:[РЕГ НТЛ]])</f>
        <v>0</v>
      </c>
    </row>
    <row r="338" spans="1:122" x14ac:dyDescent="0.25">
      <c r="A338" s="10">
        <v>30</v>
      </c>
      <c r="B338" s="2" t="s">
        <v>272</v>
      </c>
      <c r="C338" s="2" t="s">
        <v>131</v>
      </c>
      <c r="D338" s="2" t="s">
        <v>115</v>
      </c>
      <c r="E338" s="2"/>
      <c r="F338" s="2"/>
      <c r="G338" s="2">
        <v>8</v>
      </c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1"/>
      <c r="S338" s="12"/>
      <c r="T338" s="12"/>
      <c r="U338" s="1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56">
        <v>0</v>
      </c>
      <c r="DQ338" s="23">
        <v>0</v>
      </c>
      <c r="DR338" s="23">
        <f>PRODUCT(Таблица1[[#This Row],[Столбец4]:[РЕГ НТЛ]])</f>
        <v>0</v>
      </c>
    </row>
    <row r="339" spans="1:122" x14ac:dyDescent="0.25">
      <c r="A339" s="35">
        <v>56</v>
      </c>
      <c r="B339" s="36" t="s">
        <v>273</v>
      </c>
      <c r="C339" s="36" t="s">
        <v>32</v>
      </c>
      <c r="D339" s="36" t="s">
        <v>162</v>
      </c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>
        <v>9.6</v>
      </c>
      <c r="AZ339" s="36">
        <v>9.1999999999999993</v>
      </c>
      <c r="BA339" s="36">
        <v>9.6</v>
      </c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55">
        <v>0</v>
      </c>
      <c r="DQ339" s="37">
        <v>0</v>
      </c>
      <c r="DR339" s="37">
        <f>PRODUCT(Таблица1[[#This Row],[Столбец4]:[РЕГ НТЛ]])</f>
        <v>0</v>
      </c>
    </row>
    <row r="340" spans="1:122" x14ac:dyDescent="0.25">
      <c r="A340" s="35">
        <v>56</v>
      </c>
      <c r="B340" s="36" t="s">
        <v>273</v>
      </c>
      <c r="C340" s="36" t="s">
        <v>32</v>
      </c>
      <c r="D340" s="36" t="s">
        <v>146</v>
      </c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>
        <v>6</v>
      </c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56">
        <v>0</v>
      </c>
      <c r="DQ340" s="37">
        <v>0</v>
      </c>
      <c r="DR340" s="37">
        <f>PRODUCT(Таблица1[[#This Row],[Столбец4]:[РЕГ НТЛ]])</f>
        <v>0</v>
      </c>
    </row>
    <row r="341" spans="1:122" x14ac:dyDescent="0.25">
      <c r="A341" s="10">
        <v>4</v>
      </c>
      <c r="B341" s="2" t="s">
        <v>274</v>
      </c>
      <c r="C341" s="2" t="s">
        <v>127</v>
      </c>
      <c r="D341" s="2" t="s">
        <v>129</v>
      </c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>
        <v>8</v>
      </c>
      <c r="P341" s="2">
        <v>8.1999999999999993</v>
      </c>
      <c r="Q341" s="2">
        <v>8.8000000000000007</v>
      </c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14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56">
        <v>0</v>
      </c>
      <c r="DQ341" s="23">
        <v>0</v>
      </c>
      <c r="DR341" s="23">
        <f>PRODUCT(Таблица1[[#This Row],[Столбец4]:[РЕГ НТЛ]])</f>
        <v>0</v>
      </c>
    </row>
    <row r="342" spans="1:122" x14ac:dyDescent="0.25">
      <c r="A342" s="38">
        <v>284</v>
      </c>
      <c r="B342" s="39" t="s">
        <v>275</v>
      </c>
      <c r="C342" s="36" t="s">
        <v>28</v>
      </c>
      <c r="D342" s="39" t="s">
        <v>29</v>
      </c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>
        <v>8</v>
      </c>
      <c r="CO342" s="39">
        <v>8</v>
      </c>
      <c r="CP342" s="39">
        <v>8.8000000000000007</v>
      </c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55">
        <v>0</v>
      </c>
      <c r="DQ342" s="40">
        <v>1</v>
      </c>
      <c r="DR342" s="40">
        <f>PRODUCT(Таблица1[[#This Row],[Столбец4]:[РЕГ НТЛ]])</f>
        <v>0</v>
      </c>
    </row>
    <row r="343" spans="1:122" x14ac:dyDescent="0.25">
      <c r="A343" s="10">
        <v>277</v>
      </c>
      <c r="B343" s="2" t="s">
        <v>276</v>
      </c>
      <c r="C343" s="2" t="s">
        <v>40</v>
      </c>
      <c r="D343" s="2" t="s">
        <v>41</v>
      </c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>
        <v>8.4</v>
      </c>
      <c r="P343" s="2">
        <v>8.6</v>
      </c>
      <c r="Q343" s="2">
        <v>8.8000000000000007</v>
      </c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55">
        <v>0</v>
      </c>
      <c r="DQ343" s="37">
        <v>0</v>
      </c>
      <c r="DR343" s="23">
        <f>PRODUCT(Таблица1[[#This Row],[Столбец4]:[РЕГ НТЛ]])</f>
        <v>0</v>
      </c>
    </row>
    <row r="344" spans="1:122" x14ac:dyDescent="0.25">
      <c r="A344" s="10">
        <v>23</v>
      </c>
      <c r="B344" s="2" t="s">
        <v>277</v>
      </c>
      <c r="C344" s="2" t="s">
        <v>127</v>
      </c>
      <c r="D344" s="2" t="s">
        <v>129</v>
      </c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>
        <v>7.8</v>
      </c>
      <c r="P344" s="2">
        <v>7.8</v>
      </c>
      <c r="Q344" s="2">
        <v>8.1999999999999993</v>
      </c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14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55">
        <v>0</v>
      </c>
      <c r="DQ344" s="23">
        <v>0</v>
      </c>
      <c r="DR344" s="23">
        <f>PRODUCT(Таблица1[[#This Row],[Столбец4]:[РЕГ НТЛ]])</f>
        <v>0</v>
      </c>
    </row>
    <row r="345" spans="1:122" x14ac:dyDescent="0.25">
      <c r="A345" s="35">
        <v>95</v>
      </c>
      <c r="B345" s="36" t="s">
        <v>278</v>
      </c>
      <c r="C345" s="36" t="s">
        <v>28</v>
      </c>
      <c r="D345" s="36" t="s">
        <v>29</v>
      </c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>
        <v>9.1999999999999993</v>
      </c>
      <c r="CK345" s="36">
        <v>9</v>
      </c>
      <c r="CL345" s="36">
        <v>9.1999999999999993</v>
      </c>
      <c r="CM345" s="36">
        <v>8.4</v>
      </c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56">
        <v>0</v>
      </c>
      <c r="DQ345" s="37">
        <v>1</v>
      </c>
      <c r="DR345" s="37">
        <f>PRODUCT(Таблица1[[#This Row],[Столбец4]:[РЕГ НТЛ]])</f>
        <v>0</v>
      </c>
    </row>
    <row r="346" spans="1:122" x14ac:dyDescent="0.25">
      <c r="A346" s="35">
        <v>95</v>
      </c>
      <c r="B346" s="36" t="s">
        <v>278</v>
      </c>
      <c r="C346" s="36" t="s">
        <v>28</v>
      </c>
      <c r="D346" s="36" t="s">
        <v>11</v>
      </c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>
        <v>1</v>
      </c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56">
        <v>6</v>
      </c>
      <c r="DQ346" s="37">
        <v>1</v>
      </c>
      <c r="DR346" s="37">
        <f>PRODUCT(Таблица1[[#This Row],[Столбец4]:[РЕГ НТЛ]])</f>
        <v>6</v>
      </c>
    </row>
    <row r="347" spans="1:122" x14ac:dyDescent="0.25">
      <c r="A347" s="35">
        <v>54</v>
      </c>
      <c r="B347" s="36" t="s">
        <v>279</v>
      </c>
      <c r="C347" s="36" t="s">
        <v>28</v>
      </c>
      <c r="D347" s="36" t="s">
        <v>11</v>
      </c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>
        <v>4</v>
      </c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56">
        <v>0</v>
      </c>
      <c r="DQ347" s="37">
        <v>1</v>
      </c>
      <c r="DR347" s="37">
        <f>PRODUCT(Таблица1[[#This Row],[Столбец4]:[РЕГ НТЛ]])</f>
        <v>0</v>
      </c>
    </row>
    <row r="348" spans="1:122" x14ac:dyDescent="0.25">
      <c r="A348" s="38">
        <v>54</v>
      </c>
      <c r="B348" s="39" t="s">
        <v>279</v>
      </c>
      <c r="C348" s="39" t="s">
        <v>28</v>
      </c>
      <c r="D348" s="39" t="s">
        <v>11</v>
      </c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>
        <v>3</v>
      </c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55">
        <v>0</v>
      </c>
      <c r="DQ348" s="40">
        <v>1</v>
      </c>
      <c r="DR348" s="40">
        <f>PRODUCT(Таблица1[[#This Row],[Столбец4]:[РЕГ НТЛ]])</f>
        <v>0</v>
      </c>
    </row>
    <row r="349" spans="1:122" x14ac:dyDescent="0.25">
      <c r="A349" s="35">
        <v>54</v>
      </c>
      <c r="B349" s="36" t="s">
        <v>279</v>
      </c>
      <c r="C349" s="36" t="s">
        <v>28</v>
      </c>
      <c r="D349" s="36" t="s">
        <v>11</v>
      </c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>
        <v>4</v>
      </c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55">
        <v>0</v>
      </c>
      <c r="DQ349" s="37">
        <v>1</v>
      </c>
      <c r="DR349" s="37">
        <f>PRODUCT(Таблица1[[#This Row],[Столбец4]:[РЕГ НТЛ]])</f>
        <v>0</v>
      </c>
    </row>
    <row r="350" spans="1:122" x14ac:dyDescent="0.25">
      <c r="A350" s="35">
        <v>54</v>
      </c>
      <c r="B350" s="36" t="s">
        <v>279</v>
      </c>
      <c r="C350" s="36" t="s">
        <v>28</v>
      </c>
      <c r="D350" s="36" t="s">
        <v>11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>
        <v>3</v>
      </c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55">
        <v>0</v>
      </c>
      <c r="DQ350" s="37">
        <v>1</v>
      </c>
      <c r="DR350" s="37">
        <f>PRODUCT(Таблица1[[#This Row],[Столбец4]:[РЕГ НТЛ]])</f>
        <v>0</v>
      </c>
    </row>
    <row r="351" spans="1:122" x14ac:dyDescent="0.25">
      <c r="A351" s="38">
        <v>77</v>
      </c>
      <c r="B351" s="39" t="s">
        <v>280</v>
      </c>
      <c r="C351" s="39" t="s">
        <v>28</v>
      </c>
      <c r="D351" s="39" t="s">
        <v>11</v>
      </c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>
        <v>2</v>
      </c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55">
        <v>0</v>
      </c>
      <c r="DQ351" s="40">
        <v>1</v>
      </c>
      <c r="DR351" s="40">
        <f>PRODUCT(Таблица1[[#This Row],[Столбец4]:[РЕГ НТЛ]])</f>
        <v>0</v>
      </c>
    </row>
    <row r="352" spans="1:122" x14ac:dyDescent="0.25">
      <c r="A352" s="35">
        <v>77</v>
      </c>
      <c r="B352" s="36" t="s">
        <v>280</v>
      </c>
      <c r="C352" s="36" t="s">
        <v>28</v>
      </c>
      <c r="D352" s="36" t="s">
        <v>11</v>
      </c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>
        <v>1</v>
      </c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55">
        <v>0</v>
      </c>
      <c r="DQ352" s="37">
        <v>1</v>
      </c>
      <c r="DR352" s="37">
        <f>PRODUCT(Таблица1[[#This Row],[Столбец4]:[РЕГ НТЛ]])</f>
        <v>0</v>
      </c>
    </row>
    <row r="353" spans="1:122" x14ac:dyDescent="0.25">
      <c r="A353" s="35">
        <v>77</v>
      </c>
      <c r="B353" s="36" t="s">
        <v>280</v>
      </c>
      <c r="C353" s="36" t="s">
        <v>28</v>
      </c>
      <c r="D353" s="36" t="s">
        <v>11</v>
      </c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>
        <v>1</v>
      </c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55">
        <v>0</v>
      </c>
      <c r="DQ353" s="37">
        <v>1</v>
      </c>
      <c r="DR353" s="37">
        <f>PRODUCT(Таблица1[[#This Row],[Столбец4]:[РЕГ НТЛ]])</f>
        <v>0</v>
      </c>
    </row>
    <row r="354" spans="1:122" x14ac:dyDescent="0.25">
      <c r="A354" s="10">
        <v>13</v>
      </c>
      <c r="B354" s="2" t="s">
        <v>281</v>
      </c>
      <c r="C354" s="2" t="s">
        <v>23</v>
      </c>
      <c r="D354" s="2" t="s">
        <v>116</v>
      </c>
      <c r="E354" s="2"/>
      <c r="F354" s="2"/>
      <c r="G354" s="2"/>
      <c r="H354" s="2">
        <v>8.8000000000000007</v>
      </c>
      <c r="I354" s="2">
        <v>8.4</v>
      </c>
      <c r="J354" s="2">
        <v>9.6</v>
      </c>
      <c r="K354" s="2">
        <v>8.4</v>
      </c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55">
        <v>0</v>
      </c>
      <c r="DQ354" s="23">
        <v>0</v>
      </c>
      <c r="DR354" s="23">
        <f>PRODUCT(Таблица1[[#This Row],[Столбец4]:[РЕГ НТЛ]])</f>
        <v>0</v>
      </c>
    </row>
    <row r="355" spans="1:122" x14ac:dyDescent="0.25">
      <c r="A355" s="38">
        <v>73</v>
      </c>
      <c r="B355" s="39" t="s">
        <v>282</v>
      </c>
      <c r="C355" s="39" t="s">
        <v>28</v>
      </c>
      <c r="D355" s="39" t="s">
        <v>11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>
        <v>1</v>
      </c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55">
        <v>0</v>
      </c>
      <c r="DQ355" s="40">
        <v>1</v>
      </c>
      <c r="DR355" s="40">
        <f>PRODUCT(Таблица1[[#This Row],[Столбец4]:[РЕГ НТЛ]])</f>
        <v>0</v>
      </c>
    </row>
    <row r="356" spans="1:122" x14ac:dyDescent="0.25">
      <c r="A356" s="10">
        <v>46</v>
      </c>
      <c r="B356" s="2" t="s">
        <v>283</v>
      </c>
      <c r="C356" s="2" t="s">
        <v>30</v>
      </c>
      <c r="D356" s="2" t="s">
        <v>31</v>
      </c>
      <c r="E356" s="2"/>
      <c r="F356" s="2"/>
      <c r="G356" s="2"/>
      <c r="H356" s="2">
        <v>8.6</v>
      </c>
      <c r="I356" s="2">
        <v>8.6</v>
      </c>
      <c r="J356" s="2">
        <v>8.8000000000000007</v>
      </c>
      <c r="K356" s="2">
        <v>8.6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55">
        <v>0</v>
      </c>
      <c r="DQ356" s="23">
        <v>1</v>
      </c>
      <c r="DR356" s="23">
        <f>PRODUCT(Таблица1[[#This Row],[Столбец4]:[РЕГ НТЛ]])</f>
        <v>0</v>
      </c>
    </row>
    <row r="357" spans="1:122" x14ac:dyDescent="0.25">
      <c r="A357" s="10">
        <v>46</v>
      </c>
      <c r="B357" s="2" t="s">
        <v>283</v>
      </c>
      <c r="C357" s="2" t="s">
        <v>30</v>
      </c>
      <c r="D357" s="2" t="s">
        <v>31</v>
      </c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>
        <v>9</v>
      </c>
      <c r="P357" s="2">
        <v>9</v>
      </c>
      <c r="Q357" s="2">
        <v>9.8000000000000007</v>
      </c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55">
        <v>0</v>
      </c>
      <c r="DQ357" s="23">
        <v>1</v>
      </c>
      <c r="DR357" s="23">
        <f>PRODUCT(Таблица1[[#This Row],[Столбец4]:[РЕГ НТЛ]])</f>
        <v>0</v>
      </c>
    </row>
    <row r="358" spans="1:122" x14ac:dyDescent="0.25">
      <c r="A358" s="10">
        <v>27</v>
      </c>
      <c r="B358" s="2" t="s">
        <v>284</v>
      </c>
      <c r="C358" s="2" t="s">
        <v>23</v>
      </c>
      <c r="D358" s="2" t="s">
        <v>130</v>
      </c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>
        <v>9</v>
      </c>
      <c r="P358" s="2">
        <v>9.4</v>
      </c>
      <c r="Q358" s="2">
        <v>9.6</v>
      </c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55">
        <v>0</v>
      </c>
      <c r="DQ358" s="23">
        <v>1</v>
      </c>
      <c r="DR358" s="23">
        <f>PRODUCT(Таблица1[[#This Row],[Столбец4]:[РЕГ НТЛ]])</f>
        <v>0</v>
      </c>
    </row>
    <row r="359" spans="1:122" x14ac:dyDescent="0.25">
      <c r="A359" s="35">
        <v>89</v>
      </c>
      <c r="B359" s="36" t="s">
        <v>285</v>
      </c>
      <c r="C359" s="36" t="s">
        <v>32</v>
      </c>
      <c r="D359" s="36" t="s">
        <v>162</v>
      </c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>
        <v>8.8000000000000007</v>
      </c>
      <c r="CO359" s="36">
        <v>8.8000000000000007</v>
      </c>
      <c r="CP359" s="36">
        <v>9</v>
      </c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55">
        <v>0</v>
      </c>
      <c r="DQ359" s="37">
        <v>0</v>
      </c>
      <c r="DR359" s="37">
        <f>PRODUCT(Таблица1[[#This Row],[Столбец4]:[РЕГ НТЛ]])</f>
        <v>0</v>
      </c>
    </row>
    <row r="360" spans="1:122" x14ac:dyDescent="0.25">
      <c r="A360" s="35">
        <v>72</v>
      </c>
      <c r="B360" s="36" t="s">
        <v>221</v>
      </c>
      <c r="C360" s="36" t="s">
        <v>23</v>
      </c>
      <c r="D360" s="36" t="s">
        <v>24</v>
      </c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>
        <v>8.6</v>
      </c>
      <c r="AO360" s="36">
        <v>8.4</v>
      </c>
      <c r="AP360" s="36">
        <v>9</v>
      </c>
      <c r="AQ360" s="36">
        <v>8.4</v>
      </c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55">
        <v>0</v>
      </c>
      <c r="DQ360" s="37">
        <v>1</v>
      </c>
      <c r="DR360" s="37">
        <f>PRODUCT(Таблица1[[#This Row],[Столбец4]:[РЕГ НТЛ]])</f>
        <v>0</v>
      </c>
    </row>
    <row r="361" spans="1:122" x14ac:dyDescent="0.25">
      <c r="A361" s="35">
        <v>72</v>
      </c>
      <c r="B361" s="36" t="s">
        <v>221</v>
      </c>
      <c r="C361" s="36" t="s">
        <v>23</v>
      </c>
      <c r="D361" s="36" t="s">
        <v>111</v>
      </c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>
        <v>2</v>
      </c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55">
        <v>8</v>
      </c>
      <c r="DQ361" s="37">
        <v>1</v>
      </c>
      <c r="DR361" s="37">
        <f>PRODUCT(Таблица1[[#This Row],[Столбец4]:[РЕГ НТЛ]])</f>
        <v>8</v>
      </c>
    </row>
    <row r="362" spans="1:122" x14ac:dyDescent="0.25">
      <c r="A362" s="35">
        <v>72</v>
      </c>
      <c r="B362" s="36" t="s">
        <v>221</v>
      </c>
      <c r="C362" s="36" t="s">
        <v>23</v>
      </c>
      <c r="D362" s="36" t="s">
        <v>111</v>
      </c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>
        <v>3</v>
      </c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55">
        <v>0</v>
      </c>
      <c r="DQ362" s="37">
        <v>1</v>
      </c>
      <c r="DR362" s="37">
        <f>PRODUCT(Таблица1[[#This Row],[Столбец4]:[РЕГ НТЛ]])</f>
        <v>0</v>
      </c>
    </row>
    <row r="363" spans="1:122" x14ac:dyDescent="0.25">
      <c r="A363" s="35">
        <v>72</v>
      </c>
      <c r="B363" s="36" t="s">
        <v>221</v>
      </c>
      <c r="C363" s="36" t="s">
        <v>23</v>
      </c>
      <c r="D363" s="36" t="s">
        <v>111</v>
      </c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>
        <v>2</v>
      </c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56">
        <v>0</v>
      </c>
      <c r="DQ363" s="37">
        <v>1</v>
      </c>
      <c r="DR363" s="37">
        <f>PRODUCT(Таблица1[[#This Row],[Столбец4]:[РЕГ НТЛ]])</f>
        <v>0</v>
      </c>
    </row>
    <row r="364" spans="1:122" x14ac:dyDescent="0.25">
      <c r="A364" s="38">
        <v>61</v>
      </c>
      <c r="B364" s="39" t="s">
        <v>223</v>
      </c>
      <c r="C364" s="36" t="s">
        <v>28</v>
      </c>
      <c r="D364" s="39" t="s">
        <v>29</v>
      </c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70">
        <v>8.8000000000000007</v>
      </c>
      <c r="AO364" s="70">
        <v>8.4</v>
      </c>
      <c r="AP364" s="70">
        <v>9</v>
      </c>
      <c r="AQ364" s="70">
        <v>8.6</v>
      </c>
      <c r="AR364" s="70"/>
      <c r="AS364" s="70"/>
      <c r="AT364" s="70"/>
      <c r="AU364" s="70"/>
      <c r="AV364" s="70"/>
      <c r="AW364" s="70"/>
      <c r="AX364" s="70"/>
      <c r="AY364" s="70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55">
        <v>0</v>
      </c>
      <c r="DQ364" s="40">
        <v>1</v>
      </c>
      <c r="DR364" s="40">
        <f>PRODUCT(Таблица1[[#This Row],[Столбец4]:[РЕГ НТЛ]])</f>
        <v>0</v>
      </c>
    </row>
    <row r="365" spans="1:122" x14ac:dyDescent="0.25">
      <c r="A365" s="35">
        <v>61</v>
      </c>
      <c r="B365" s="36" t="s">
        <v>223</v>
      </c>
      <c r="C365" s="36" t="s">
        <v>28</v>
      </c>
      <c r="D365" s="36" t="s">
        <v>29</v>
      </c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67"/>
      <c r="AO365" s="67"/>
      <c r="AP365" s="67"/>
      <c r="AQ365" s="67"/>
      <c r="AR365" s="67"/>
      <c r="AS365" s="67"/>
      <c r="AT365" s="67"/>
      <c r="AU365" s="67"/>
      <c r="AV365" s="67">
        <v>9</v>
      </c>
      <c r="AW365" s="67">
        <v>9</v>
      </c>
      <c r="AX365" s="67">
        <v>9.4</v>
      </c>
      <c r="AY365" s="67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55">
        <v>0</v>
      </c>
      <c r="DQ365" s="37">
        <v>1</v>
      </c>
      <c r="DR365" s="37">
        <f>PRODUCT(Таблица1[[#This Row],[Столбец4]:[РЕГ НТЛ]])</f>
        <v>0</v>
      </c>
    </row>
    <row r="366" spans="1:122" x14ac:dyDescent="0.25">
      <c r="A366" s="10">
        <v>7</v>
      </c>
      <c r="B366" s="2" t="s">
        <v>286</v>
      </c>
      <c r="C366" s="2" t="s">
        <v>28</v>
      </c>
      <c r="D366" s="2" t="s">
        <v>29</v>
      </c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>
        <v>8.4</v>
      </c>
      <c r="P366" s="2">
        <v>8.1999999999999993</v>
      </c>
      <c r="Q366" s="2">
        <v>8.6</v>
      </c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56">
        <v>0</v>
      </c>
      <c r="DQ366" s="23">
        <v>0</v>
      </c>
      <c r="DR366" s="23">
        <f>PRODUCT(Таблица1[[#This Row],[Столбец4]:[РЕГ НТЛ]])</f>
        <v>0</v>
      </c>
    </row>
    <row r="367" spans="1:122" x14ac:dyDescent="0.25">
      <c r="A367" s="38">
        <v>79</v>
      </c>
      <c r="B367" s="39" t="s">
        <v>287</v>
      </c>
      <c r="C367" s="36" t="s">
        <v>28</v>
      </c>
      <c r="D367" s="39" t="s">
        <v>42</v>
      </c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>
        <v>8.6</v>
      </c>
      <c r="AS367" s="39">
        <v>0</v>
      </c>
      <c r="AT367" s="39">
        <v>8.8000000000000007</v>
      </c>
      <c r="AU367" s="39">
        <v>8.6</v>
      </c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55">
        <v>0</v>
      </c>
      <c r="DQ367" s="40">
        <v>1</v>
      </c>
      <c r="DR367" s="40">
        <f>PRODUCT(Таблица1[[#This Row],[Столбец4]:[РЕГ НТЛ]])</f>
        <v>0</v>
      </c>
    </row>
    <row r="368" spans="1:122" x14ac:dyDescent="0.25">
      <c r="A368" s="35">
        <v>79</v>
      </c>
      <c r="B368" s="36" t="s">
        <v>287</v>
      </c>
      <c r="C368" s="36" t="s">
        <v>28</v>
      </c>
      <c r="D368" s="36" t="s">
        <v>42</v>
      </c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>
        <v>9.1999999999999993</v>
      </c>
      <c r="AZ368" s="36">
        <v>8.8000000000000007</v>
      </c>
      <c r="BA368" s="36">
        <v>9.4</v>
      </c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56">
        <v>0</v>
      </c>
      <c r="DQ368" s="37">
        <v>1</v>
      </c>
      <c r="DR368" s="37">
        <f>PRODUCT(Таблица1[[#This Row],[Столбец4]:[РЕГ НТЛ]])</f>
        <v>0</v>
      </c>
    </row>
    <row r="369" spans="1:122" x14ac:dyDescent="0.25">
      <c r="A369" s="35">
        <v>90</v>
      </c>
      <c r="B369" s="36" t="s">
        <v>231</v>
      </c>
      <c r="C369" s="36" t="s">
        <v>32</v>
      </c>
      <c r="D369" s="36" t="s">
        <v>146</v>
      </c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>
        <v>1</v>
      </c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56">
        <v>0</v>
      </c>
      <c r="DQ369" s="37">
        <v>0</v>
      </c>
      <c r="DR369" s="37">
        <f>PRODUCT(Таблица1[[#This Row],[Столбец4]:[РЕГ НТЛ]])</f>
        <v>0</v>
      </c>
    </row>
    <row r="370" spans="1:122" x14ac:dyDescent="0.25">
      <c r="A370" s="35">
        <v>90</v>
      </c>
      <c r="B370" s="36" t="s">
        <v>231</v>
      </c>
      <c r="C370" s="36" t="s">
        <v>32</v>
      </c>
      <c r="D370" s="36" t="s">
        <v>146</v>
      </c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>
        <v>1</v>
      </c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56">
        <v>0</v>
      </c>
      <c r="DQ370" s="37">
        <v>0</v>
      </c>
      <c r="DR370" s="37">
        <f>PRODUCT(Таблица1[[#This Row],[Столбец4]:[РЕГ НТЛ]])</f>
        <v>0</v>
      </c>
    </row>
    <row r="371" spans="1:122" x14ac:dyDescent="0.25">
      <c r="A371" s="38">
        <v>53</v>
      </c>
      <c r="B371" s="39" t="s">
        <v>289</v>
      </c>
      <c r="C371" s="36" t="s">
        <v>28</v>
      </c>
      <c r="D371" s="39" t="s">
        <v>42</v>
      </c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>
        <v>8.6</v>
      </c>
      <c r="AZ371" s="39">
        <v>9.4</v>
      </c>
      <c r="BA371" s="39">
        <v>9.6</v>
      </c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55">
        <v>0</v>
      </c>
      <c r="DQ371" s="40">
        <v>0</v>
      </c>
      <c r="DR371" s="40">
        <f>PRODUCT(Таблица1[[#This Row],[Столбец4]:[РЕГ НТЛ]])</f>
        <v>0</v>
      </c>
    </row>
    <row r="372" spans="1:122" x14ac:dyDescent="0.25">
      <c r="A372" s="10">
        <v>9</v>
      </c>
      <c r="B372" s="2" t="s">
        <v>290</v>
      </c>
      <c r="C372" s="2" t="s">
        <v>28</v>
      </c>
      <c r="D372" s="2" t="s">
        <v>29</v>
      </c>
      <c r="E372" s="8"/>
      <c r="F372" s="2"/>
      <c r="G372" s="2"/>
      <c r="H372" s="2"/>
      <c r="I372" s="2"/>
      <c r="J372" s="2"/>
      <c r="K372" s="2"/>
      <c r="L372" s="2"/>
      <c r="M372" s="2"/>
      <c r="N372" s="2"/>
      <c r="O372" s="2">
        <v>8.4</v>
      </c>
      <c r="P372" s="2">
        <v>8.4</v>
      </c>
      <c r="Q372" s="2">
        <v>8.4</v>
      </c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55">
        <v>0</v>
      </c>
      <c r="DQ372" s="23">
        <v>1</v>
      </c>
      <c r="DR372" s="23">
        <f>PRODUCT(Таблица1[[#This Row],[Столбец4]:[РЕГ НТЛ]])</f>
        <v>0</v>
      </c>
    </row>
    <row r="373" spans="1:122" x14ac:dyDescent="0.25">
      <c r="A373" s="10">
        <v>10</v>
      </c>
      <c r="B373" s="2" t="s">
        <v>291</v>
      </c>
      <c r="C373" s="2" t="s">
        <v>28</v>
      </c>
      <c r="D373" s="2" t="s">
        <v>29</v>
      </c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>
        <v>8.1999999999999993</v>
      </c>
      <c r="P373" s="2">
        <v>8.4</v>
      </c>
      <c r="Q373" s="2">
        <v>8.6</v>
      </c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56">
        <v>0</v>
      </c>
      <c r="DQ373" s="23">
        <v>0</v>
      </c>
      <c r="DR373" s="23">
        <f>PRODUCT(Таблица1[[#This Row],[Столбец4]:[РЕГ НТЛ]])</f>
        <v>0</v>
      </c>
    </row>
    <row r="374" spans="1:122" x14ac:dyDescent="0.25">
      <c r="A374" s="35">
        <v>50</v>
      </c>
      <c r="B374" s="36" t="s">
        <v>292</v>
      </c>
      <c r="C374" s="36" t="s">
        <v>28</v>
      </c>
      <c r="D374" s="36" t="s">
        <v>29</v>
      </c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>
        <v>9</v>
      </c>
      <c r="AM374" s="36">
        <v>9</v>
      </c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55">
        <v>0</v>
      </c>
      <c r="DQ374" s="37">
        <v>1</v>
      </c>
      <c r="DR374" s="37">
        <f>PRODUCT(Таблица1[[#This Row],[Столбец4]:[РЕГ НТЛ]])</f>
        <v>0</v>
      </c>
    </row>
    <row r="375" spans="1:122" x14ac:dyDescent="0.25">
      <c r="A375" s="35">
        <v>71</v>
      </c>
      <c r="B375" s="36" t="s">
        <v>293</v>
      </c>
      <c r="C375" s="36" t="s">
        <v>28</v>
      </c>
      <c r="D375" s="36" t="s">
        <v>29</v>
      </c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>
        <v>8.8000000000000007</v>
      </c>
      <c r="AS375" s="36">
        <v>8.4</v>
      </c>
      <c r="AT375" s="36">
        <v>8.6</v>
      </c>
      <c r="AU375" s="36">
        <v>8.4</v>
      </c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55">
        <v>0</v>
      </c>
      <c r="DQ375" s="37">
        <v>1</v>
      </c>
      <c r="DR375" s="37">
        <f>PRODUCT(Таблица1[[#This Row],[Столбец4]:[РЕГ НТЛ]])</f>
        <v>0</v>
      </c>
    </row>
    <row r="376" spans="1:122" x14ac:dyDescent="0.25">
      <c r="A376" s="38">
        <v>71</v>
      </c>
      <c r="B376" s="39" t="s">
        <v>293</v>
      </c>
      <c r="C376" s="36" t="s">
        <v>28</v>
      </c>
      <c r="D376" s="39" t="s">
        <v>29</v>
      </c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>
        <v>8.8000000000000007</v>
      </c>
      <c r="AZ376" s="39">
        <v>9</v>
      </c>
      <c r="BA376" s="39">
        <v>9.6</v>
      </c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55">
        <v>0</v>
      </c>
      <c r="DQ376" s="40">
        <v>1</v>
      </c>
      <c r="DR376" s="40">
        <f>PRODUCT(Таблица1[[#This Row],[Столбец4]:[РЕГ НТЛ]])</f>
        <v>0</v>
      </c>
    </row>
    <row r="377" spans="1:122" x14ac:dyDescent="0.25">
      <c r="A377" s="38">
        <v>64</v>
      </c>
      <c r="B377" s="39" t="s">
        <v>222</v>
      </c>
      <c r="C377" s="36" t="s">
        <v>92</v>
      </c>
      <c r="D377" s="39" t="s">
        <v>46</v>
      </c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>
        <v>4</v>
      </c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55">
        <v>0</v>
      </c>
      <c r="DQ377" s="40">
        <v>0</v>
      </c>
      <c r="DR377" s="40">
        <f>PRODUCT(Таблица1[[#This Row],[Столбец4]:[РЕГ НТЛ]])</f>
        <v>0</v>
      </c>
    </row>
    <row r="378" spans="1:122" x14ac:dyDescent="0.25">
      <c r="A378" s="35">
        <v>64</v>
      </c>
      <c r="B378" s="39" t="s">
        <v>222</v>
      </c>
      <c r="C378" s="36" t="s">
        <v>92</v>
      </c>
      <c r="D378" s="36" t="s">
        <v>46</v>
      </c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>
        <v>1</v>
      </c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56">
        <v>0</v>
      </c>
      <c r="DQ378" s="37">
        <v>0</v>
      </c>
      <c r="DR378" s="37">
        <f>PRODUCT(Таблица1[[#This Row],[Столбец4]:[РЕГ НТЛ]])</f>
        <v>0</v>
      </c>
    </row>
    <row r="379" spans="1:122" x14ac:dyDescent="0.25">
      <c r="A379" s="35">
        <v>117</v>
      </c>
      <c r="B379" s="39" t="s">
        <v>294</v>
      </c>
      <c r="C379" s="36" t="s">
        <v>23</v>
      </c>
      <c r="D379" s="36" t="s">
        <v>53</v>
      </c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>
        <v>6</v>
      </c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55">
        <v>4</v>
      </c>
      <c r="DQ379" s="37">
        <v>1</v>
      </c>
      <c r="DR379" s="37">
        <f>PRODUCT(Таблица1[[#This Row],[Столбец4]:[РЕГ НТЛ]])</f>
        <v>4</v>
      </c>
    </row>
    <row r="380" spans="1:122" x14ac:dyDescent="0.25">
      <c r="A380" s="35">
        <v>110</v>
      </c>
      <c r="B380" s="36" t="s">
        <v>295</v>
      </c>
      <c r="C380" s="36" t="s">
        <v>28</v>
      </c>
      <c r="D380" s="36" t="s">
        <v>11</v>
      </c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>
        <v>3</v>
      </c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55">
        <v>0</v>
      </c>
      <c r="DQ380" s="37">
        <v>1</v>
      </c>
      <c r="DR380" s="37">
        <f>PRODUCT(Таблица1[[#This Row],[Столбец4]:[РЕГ НТЛ]])</f>
        <v>0</v>
      </c>
    </row>
    <row r="381" spans="1:122" x14ac:dyDescent="0.25">
      <c r="A381" s="35">
        <v>115</v>
      </c>
      <c r="B381" s="36" t="s">
        <v>296</v>
      </c>
      <c r="C381" s="36" t="s">
        <v>28</v>
      </c>
      <c r="D381" s="36" t="s">
        <v>11</v>
      </c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>
        <v>2</v>
      </c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56">
        <v>4</v>
      </c>
      <c r="DQ381" s="37">
        <v>1</v>
      </c>
      <c r="DR381" s="37">
        <f>PRODUCT(Таблица1[[#This Row],[Столбец4]:[РЕГ НТЛ]])</f>
        <v>4</v>
      </c>
    </row>
    <row r="382" spans="1:122" x14ac:dyDescent="0.25">
      <c r="A382" s="38">
        <v>115</v>
      </c>
      <c r="B382" s="39" t="s">
        <v>296</v>
      </c>
      <c r="C382" s="36" t="s">
        <v>28</v>
      </c>
      <c r="D382" s="39" t="s">
        <v>11</v>
      </c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>
        <v>1</v>
      </c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58">
        <v>12</v>
      </c>
      <c r="DQ382" s="40">
        <v>1</v>
      </c>
      <c r="DR382" s="40">
        <f>PRODUCT(Таблица1[[#This Row],[Столбец4]:[РЕГ НТЛ]])</f>
        <v>12</v>
      </c>
    </row>
    <row r="383" spans="1:122" x14ac:dyDescent="0.25">
      <c r="A383" s="35">
        <v>283</v>
      </c>
      <c r="B383" s="36" t="s">
        <v>297</v>
      </c>
      <c r="C383" s="36" t="s">
        <v>203</v>
      </c>
      <c r="D383" s="36" t="s">
        <v>204</v>
      </c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>
        <v>8.4</v>
      </c>
      <c r="CO383" s="36">
        <v>8.1999999999999993</v>
      </c>
      <c r="CP383" s="36">
        <v>8.8000000000000007</v>
      </c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56">
        <v>0</v>
      </c>
      <c r="DQ383" s="37">
        <v>0</v>
      </c>
      <c r="DR383" s="37">
        <f>PRODUCT(Таблица1[[#This Row],[Столбец4]:[РЕГ НТЛ]])</f>
        <v>0</v>
      </c>
    </row>
    <row r="384" spans="1:122" x14ac:dyDescent="0.25">
      <c r="A384" s="35">
        <v>66</v>
      </c>
      <c r="B384" s="36" t="s">
        <v>298</v>
      </c>
      <c r="C384" s="36" t="s">
        <v>28</v>
      </c>
      <c r="D384" s="36" t="s">
        <v>29</v>
      </c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>
        <v>9.1999999999999993</v>
      </c>
      <c r="AM384" s="36">
        <v>9.4</v>
      </c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56">
        <v>0</v>
      </c>
      <c r="DQ384" s="37">
        <v>1</v>
      </c>
      <c r="DR384" s="37">
        <f>PRODUCT(Таблица1[[#This Row],[Столбец4]:[РЕГ НТЛ]])</f>
        <v>0</v>
      </c>
    </row>
    <row r="385" spans="1:122" x14ac:dyDescent="0.25">
      <c r="A385" s="35">
        <v>66</v>
      </c>
      <c r="B385" s="36" t="s">
        <v>298</v>
      </c>
      <c r="C385" s="36" t="s">
        <v>28</v>
      </c>
      <c r="D385" s="36" t="s">
        <v>11</v>
      </c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>
        <v>7</v>
      </c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55">
        <v>0</v>
      </c>
      <c r="DQ385" s="37">
        <v>1</v>
      </c>
      <c r="DR385" s="37">
        <f>PRODUCT(Таблица1[[#This Row],[Столбец4]:[РЕГ НТЛ]])</f>
        <v>0</v>
      </c>
    </row>
    <row r="386" spans="1:122" x14ac:dyDescent="0.25">
      <c r="A386" s="35">
        <v>66</v>
      </c>
      <c r="B386" s="36" t="s">
        <v>298</v>
      </c>
      <c r="C386" s="36" t="s">
        <v>28</v>
      </c>
      <c r="D386" s="36" t="s">
        <v>11</v>
      </c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>
        <v>5</v>
      </c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55">
        <v>0</v>
      </c>
      <c r="DQ386" s="37">
        <v>1</v>
      </c>
      <c r="DR386" s="37">
        <f>PRODUCT(Таблица1[[#This Row],[Столбец4]:[РЕГ НТЛ]])</f>
        <v>0</v>
      </c>
    </row>
    <row r="387" spans="1:122" x14ac:dyDescent="0.25">
      <c r="A387" s="38">
        <v>66</v>
      </c>
      <c r="B387" s="39" t="s">
        <v>298</v>
      </c>
      <c r="C387" s="36" t="s">
        <v>28</v>
      </c>
      <c r="D387" s="39" t="s">
        <v>11</v>
      </c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>
        <v>2</v>
      </c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58">
        <v>0</v>
      </c>
      <c r="DQ387" s="40">
        <v>1</v>
      </c>
      <c r="DR387" s="40">
        <f>PRODUCT(Таблица1[[#This Row],[Столбец4]:[РЕГ НТЛ]])</f>
        <v>0</v>
      </c>
    </row>
    <row r="388" spans="1:122" x14ac:dyDescent="0.25">
      <c r="A388" s="35">
        <v>66</v>
      </c>
      <c r="B388" s="36" t="s">
        <v>298</v>
      </c>
      <c r="C388" s="36" t="s">
        <v>28</v>
      </c>
      <c r="D388" s="36" t="s">
        <v>11</v>
      </c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>
        <v>3</v>
      </c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56">
        <v>0</v>
      </c>
      <c r="DQ388" s="37">
        <v>1</v>
      </c>
      <c r="DR388" s="37">
        <f>PRODUCT(Таблица1[[#This Row],[Столбец4]:[РЕГ НТЛ]])</f>
        <v>0</v>
      </c>
    </row>
    <row r="389" spans="1:122" x14ac:dyDescent="0.25">
      <c r="A389" s="10">
        <v>41</v>
      </c>
      <c r="B389" s="2" t="s">
        <v>299</v>
      </c>
      <c r="C389" s="2" t="s">
        <v>23</v>
      </c>
      <c r="D389" s="2" t="s">
        <v>130</v>
      </c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>
        <v>9.8000000000000007</v>
      </c>
      <c r="P389" s="2">
        <v>9.6</v>
      </c>
      <c r="Q389" s="2">
        <v>9.1999999999999993</v>
      </c>
      <c r="R389" s="2"/>
      <c r="S389" s="2"/>
      <c r="T389" s="2"/>
      <c r="U389" s="2"/>
      <c r="V389" s="2"/>
      <c r="W389" s="1"/>
      <c r="X389" s="1"/>
      <c r="Y389" s="1"/>
      <c r="Z389" s="1"/>
      <c r="AA389" s="2"/>
      <c r="AB389" s="11"/>
      <c r="AC389" s="12"/>
      <c r="AD389" s="12"/>
      <c r="AE389" s="1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56">
        <v>0</v>
      </c>
      <c r="DQ389" s="23">
        <v>1</v>
      </c>
      <c r="DR389" s="23">
        <f>PRODUCT(Таблица1[[#This Row],[Столбец4]:[РЕГ НТЛ]])</f>
        <v>0</v>
      </c>
    </row>
    <row r="390" spans="1:122" x14ac:dyDescent="0.25">
      <c r="A390" s="35">
        <v>101</v>
      </c>
      <c r="B390" s="36" t="s">
        <v>232</v>
      </c>
      <c r="C390" s="36" t="s">
        <v>28</v>
      </c>
      <c r="D390" s="36" t="s">
        <v>11</v>
      </c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>
        <v>1</v>
      </c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56">
        <v>0</v>
      </c>
      <c r="DQ390" s="37">
        <v>1</v>
      </c>
      <c r="DR390" s="37">
        <f>PRODUCT(Таблица1[[#This Row],[Столбец4]:[РЕГ НТЛ]])</f>
        <v>0</v>
      </c>
    </row>
    <row r="391" spans="1:122" x14ac:dyDescent="0.25">
      <c r="A391" s="35">
        <v>101</v>
      </c>
      <c r="B391" s="36" t="s">
        <v>232</v>
      </c>
      <c r="C391" s="36" t="s">
        <v>28</v>
      </c>
      <c r="D391" s="36" t="s">
        <v>11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>
        <v>2</v>
      </c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56">
        <v>0</v>
      </c>
      <c r="DQ391" s="37">
        <v>1</v>
      </c>
      <c r="DR391" s="37">
        <f>PRODUCT(Таблица1[[#This Row],[Столбец4]:[РЕГ НТЛ]])</f>
        <v>0</v>
      </c>
    </row>
    <row r="392" spans="1:122" x14ac:dyDescent="0.25">
      <c r="A392" s="35">
        <v>75</v>
      </c>
      <c r="B392" s="36" t="s">
        <v>300</v>
      </c>
      <c r="C392" s="36" t="s">
        <v>23</v>
      </c>
      <c r="D392" s="36" t="s">
        <v>34</v>
      </c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>
        <v>8.4</v>
      </c>
      <c r="AS392" s="36">
        <v>8.4</v>
      </c>
      <c r="AT392" s="36">
        <v>8.4</v>
      </c>
      <c r="AU392" s="36">
        <v>9</v>
      </c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56">
        <v>0</v>
      </c>
      <c r="DQ392" s="37">
        <v>1</v>
      </c>
      <c r="DR392" s="37">
        <f>PRODUCT(Таблица1[[#This Row],[Столбец4]:[РЕГ НТЛ]])</f>
        <v>0</v>
      </c>
    </row>
    <row r="393" spans="1:122" x14ac:dyDescent="0.25">
      <c r="A393" s="38">
        <v>92</v>
      </c>
      <c r="B393" s="39" t="s">
        <v>301</v>
      </c>
      <c r="C393" s="36" t="s">
        <v>28</v>
      </c>
      <c r="D393" s="39" t="s">
        <v>11</v>
      </c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>
        <v>4</v>
      </c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  <c r="DG393" s="39"/>
      <c r="DH393" s="39"/>
      <c r="DI393" s="39"/>
      <c r="DJ393" s="39"/>
      <c r="DK393" s="39"/>
      <c r="DL393" s="39"/>
      <c r="DM393" s="39"/>
      <c r="DN393" s="39"/>
      <c r="DO393" s="39"/>
      <c r="DP393" s="55">
        <v>0</v>
      </c>
      <c r="DQ393" s="40">
        <v>1</v>
      </c>
      <c r="DR393" s="40">
        <f>PRODUCT(Таблица1[[#This Row],[Столбец4]:[РЕГ НТЛ]])</f>
        <v>0</v>
      </c>
    </row>
    <row r="394" spans="1:122" x14ac:dyDescent="0.25">
      <c r="A394" s="35">
        <v>92</v>
      </c>
      <c r="B394" s="36" t="s">
        <v>301</v>
      </c>
      <c r="C394" s="36" t="s">
        <v>28</v>
      </c>
      <c r="D394" s="36" t="s">
        <v>11</v>
      </c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>
        <v>5</v>
      </c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56">
        <v>0</v>
      </c>
      <c r="DQ394" s="37">
        <v>1</v>
      </c>
      <c r="DR394" s="37">
        <f>PRODUCT(Таблица1[[#This Row],[Столбец4]:[РЕГ НТЛ]])</f>
        <v>0</v>
      </c>
    </row>
    <row r="395" spans="1:122" x14ac:dyDescent="0.25">
      <c r="A395" s="35">
        <v>67</v>
      </c>
      <c r="B395" s="36" t="s">
        <v>224</v>
      </c>
      <c r="C395" s="36" t="s">
        <v>28</v>
      </c>
      <c r="D395" s="36" t="s">
        <v>29</v>
      </c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>
        <v>8.4</v>
      </c>
      <c r="AW395" s="36">
        <v>8.8000000000000007</v>
      </c>
      <c r="AX395" s="36">
        <v>9</v>
      </c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56">
        <v>0</v>
      </c>
      <c r="DQ395" s="37">
        <v>1</v>
      </c>
      <c r="DR395" s="37">
        <f>PRODUCT(Таблица1[[#This Row],[Столбец4]:[РЕГ НТЛ]])</f>
        <v>0</v>
      </c>
    </row>
    <row r="396" spans="1:122" x14ac:dyDescent="0.25">
      <c r="A396" s="35">
        <v>52</v>
      </c>
      <c r="B396" s="36" t="s">
        <v>302</v>
      </c>
      <c r="C396" s="36" t="s">
        <v>40</v>
      </c>
      <c r="D396" s="36" t="s">
        <v>41</v>
      </c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>
        <v>8.6</v>
      </c>
      <c r="AZ396" s="36">
        <v>8.4</v>
      </c>
      <c r="BA396" s="36">
        <v>8.6</v>
      </c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55">
        <v>0</v>
      </c>
      <c r="DQ396" s="37">
        <v>0</v>
      </c>
      <c r="DR396" s="37">
        <f>PRODUCT(Таблица1[[#This Row],[Столбец4]:[РЕГ НТЛ]])</f>
        <v>0</v>
      </c>
    </row>
    <row r="397" spans="1:122" x14ac:dyDescent="0.25">
      <c r="A397" s="38">
        <v>52</v>
      </c>
      <c r="B397" s="39" t="s">
        <v>302</v>
      </c>
      <c r="C397" s="2" t="s">
        <v>40</v>
      </c>
      <c r="D397" s="39" t="s">
        <v>14</v>
      </c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 t="s">
        <v>69</v>
      </c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55">
        <v>0</v>
      </c>
      <c r="DQ397" s="40">
        <v>0</v>
      </c>
      <c r="DR397" s="40">
        <f>PRODUCT(Таблица1[[#This Row],[Столбец4]:[РЕГ НТЛ]])</f>
        <v>0</v>
      </c>
    </row>
    <row r="398" spans="1:122" x14ac:dyDescent="0.25">
      <c r="A398" s="35">
        <v>120</v>
      </c>
      <c r="B398" s="36" t="s">
        <v>233</v>
      </c>
      <c r="C398" s="36" t="s">
        <v>23</v>
      </c>
      <c r="D398" s="36" t="s">
        <v>57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>
        <v>5</v>
      </c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55">
        <v>0</v>
      </c>
      <c r="DQ398" s="37">
        <v>1</v>
      </c>
      <c r="DR398" s="37">
        <f>PRODUCT(Таблица1[[#This Row],[Столбец4]:[РЕГ НТЛ]])</f>
        <v>0</v>
      </c>
    </row>
    <row r="399" spans="1:122" x14ac:dyDescent="0.25">
      <c r="A399" s="35">
        <v>120</v>
      </c>
      <c r="B399" s="36" t="s">
        <v>233</v>
      </c>
      <c r="C399" s="36" t="s">
        <v>23</v>
      </c>
      <c r="D399" s="36" t="s">
        <v>57</v>
      </c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>
        <v>5</v>
      </c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55">
        <v>0</v>
      </c>
      <c r="DQ399" s="37">
        <v>1</v>
      </c>
      <c r="DR399" s="37">
        <f>PRODUCT(Таблица1[[#This Row],[Столбец4]:[РЕГ НТЛ]])</f>
        <v>0</v>
      </c>
    </row>
    <row r="400" spans="1:122" x14ac:dyDescent="0.25">
      <c r="A400" s="35">
        <v>120</v>
      </c>
      <c r="B400" s="36" t="s">
        <v>233</v>
      </c>
      <c r="C400" s="36" t="s">
        <v>23</v>
      </c>
      <c r="D400" s="36" t="s">
        <v>57</v>
      </c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>
        <v>5</v>
      </c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56">
        <v>0</v>
      </c>
      <c r="DQ400" s="37">
        <v>1</v>
      </c>
      <c r="DR400" s="37">
        <f>PRODUCT(Таблица1[[#This Row],[Столбец4]:[РЕГ НТЛ]])</f>
        <v>0</v>
      </c>
    </row>
    <row r="401" spans="1:122" x14ac:dyDescent="0.25">
      <c r="A401" s="35">
        <v>120</v>
      </c>
      <c r="B401" s="36" t="s">
        <v>233</v>
      </c>
      <c r="C401" s="36" t="s">
        <v>23</v>
      </c>
      <c r="D401" s="36" t="s">
        <v>57</v>
      </c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>
        <v>4</v>
      </c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55">
        <v>0</v>
      </c>
      <c r="DQ401" s="37">
        <v>1</v>
      </c>
      <c r="DR401" s="37">
        <f>PRODUCT(Таблица1[[#This Row],[Столбец4]:[РЕГ НТЛ]])</f>
        <v>0</v>
      </c>
    </row>
    <row r="402" spans="1:122" x14ac:dyDescent="0.25">
      <c r="A402" s="35">
        <v>280</v>
      </c>
      <c r="B402" s="36" t="s">
        <v>226</v>
      </c>
      <c r="C402" s="36" t="s">
        <v>92</v>
      </c>
      <c r="D402" s="36" t="s">
        <v>170</v>
      </c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>
        <v>8.6</v>
      </c>
      <c r="AW402" s="36">
        <v>8.6</v>
      </c>
      <c r="AX402" s="36">
        <v>8.8000000000000007</v>
      </c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55">
        <v>0</v>
      </c>
      <c r="DQ402" s="37">
        <v>0</v>
      </c>
      <c r="DR402" s="37">
        <f>PRODUCT(Таблица1[[#This Row],[Столбец4]:[РЕГ НТЛ]])</f>
        <v>0</v>
      </c>
    </row>
    <row r="403" spans="1:122" x14ac:dyDescent="0.25">
      <c r="A403" s="44">
        <v>36</v>
      </c>
      <c r="B403" s="19" t="s">
        <v>303</v>
      </c>
      <c r="C403" s="2" t="s">
        <v>30</v>
      </c>
      <c r="D403" s="19" t="s">
        <v>12</v>
      </c>
      <c r="E403" s="19">
        <v>4</v>
      </c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55">
        <v>0</v>
      </c>
      <c r="DQ403" s="23">
        <v>1</v>
      </c>
      <c r="DR403" s="24">
        <f>PRODUCT(Таблица1[[#This Row],[Столбец4]:[РЕГ НТЛ]])</f>
        <v>0</v>
      </c>
    </row>
    <row r="404" spans="1:122" x14ac:dyDescent="0.25">
      <c r="A404" s="10">
        <v>36</v>
      </c>
      <c r="B404" s="2" t="s">
        <v>303</v>
      </c>
      <c r="C404" s="2" t="s">
        <v>30</v>
      </c>
      <c r="D404" s="2" t="s">
        <v>12</v>
      </c>
      <c r="E404" s="2"/>
      <c r="F404" s="2">
        <v>6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55">
        <v>0</v>
      </c>
      <c r="DQ404" s="23">
        <v>1</v>
      </c>
      <c r="DR404" s="23">
        <f>PRODUCT(Таблица1[[#This Row],[Столбец4]:[РЕГ НТЛ]])</f>
        <v>0</v>
      </c>
    </row>
    <row r="405" spans="1:122" x14ac:dyDescent="0.25">
      <c r="A405" s="35">
        <v>58</v>
      </c>
      <c r="B405" s="36" t="s">
        <v>304</v>
      </c>
      <c r="C405" s="36" t="s">
        <v>28</v>
      </c>
      <c r="D405" s="36" t="s">
        <v>11</v>
      </c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>
        <v>5</v>
      </c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56">
        <v>0</v>
      </c>
      <c r="DQ405" s="37">
        <v>1</v>
      </c>
      <c r="DR405" s="37">
        <f>PRODUCT(Таблица1[[#This Row],[Столбец4]:[РЕГ НТЛ]])</f>
        <v>0</v>
      </c>
    </row>
    <row r="406" spans="1:122" x14ac:dyDescent="0.25">
      <c r="A406" s="35">
        <v>58</v>
      </c>
      <c r="B406" s="36" t="s">
        <v>304</v>
      </c>
      <c r="C406" s="36" t="s">
        <v>28</v>
      </c>
      <c r="D406" s="36" t="s">
        <v>11</v>
      </c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>
        <v>9</v>
      </c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56">
        <v>0</v>
      </c>
      <c r="DQ406" s="37">
        <v>1</v>
      </c>
      <c r="DR406" s="37">
        <f>PRODUCT(Таблица1[[#This Row],[Столбец4]:[РЕГ НТЛ]])</f>
        <v>0</v>
      </c>
    </row>
    <row r="407" spans="1:122" x14ac:dyDescent="0.25">
      <c r="A407" s="35">
        <v>96</v>
      </c>
      <c r="B407" s="36" t="s">
        <v>234</v>
      </c>
      <c r="C407" s="36" t="s">
        <v>23</v>
      </c>
      <c r="D407" s="36" t="s">
        <v>53</v>
      </c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>
        <v>4</v>
      </c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55">
        <v>0</v>
      </c>
      <c r="DQ407" s="61">
        <v>0.5</v>
      </c>
      <c r="DR407" s="37">
        <f>PRODUCT(Таблица1[[#This Row],[Столбец4]:[РЕГ НТЛ]])</f>
        <v>0</v>
      </c>
    </row>
    <row r="408" spans="1:122" x14ac:dyDescent="0.25">
      <c r="A408" s="38">
        <v>96</v>
      </c>
      <c r="B408" s="39" t="s">
        <v>234</v>
      </c>
      <c r="C408" s="36" t="s">
        <v>23</v>
      </c>
      <c r="D408" s="39" t="s">
        <v>53</v>
      </c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>
        <v>4</v>
      </c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58">
        <v>0</v>
      </c>
      <c r="DQ408" s="68">
        <v>0.5</v>
      </c>
      <c r="DR408" s="40">
        <f>PRODUCT(Таблица1[[#This Row],[Столбец4]:[РЕГ НТЛ]])</f>
        <v>0</v>
      </c>
    </row>
    <row r="409" spans="1:122" x14ac:dyDescent="0.25">
      <c r="A409" s="35">
        <v>96</v>
      </c>
      <c r="B409" s="36" t="s">
        <v>234</v>
      </c>
      <c r="C409" s="36" t="s">
        <v>23</v>
      </c>
      <c r="D409" s="36" t="s">
        <v>53</v>
      </c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>
        <v>4</v>
      </c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56">
        <v>0</v>
      </c>
      <c r="DQ409" s="61">
        <v>0.5</v>
      </c>
      <c r="DR409" s="37">
        <f>PRODUCT(Таблица1[[#This Row],[Столбец4]:[РЕГ НТЛ]])</f>
        <v>0</v>
      </c>
    </row>
    <row r="410" spans="1:122" x14ac:dyDescent="0.25">
      <c r="A410" s="35">
        <v>96</v>
      </c>
      <c r="B410" s="36" t="s">
        <v>234</v>
      </c>
      <c r="C410" s="36" t="s">
        <v>23</v>
      </c>
      <c r="D410" s="36" t="s">
        <v>53</v>
      </c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>
        <v>6</v>
      </c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55">
        <v>0</v>
      </c>
      <c r="DQ410" s="61">
        <v>0.5</v>
      </c>
      <c r="DR410" s="37">
        <f>PRODUCT(Таблица1[[#This Row],[Столбец4]:[РЕГ НТЛ]])</f>
        <v>0</v>
      </c>
    </row>
    <row r="411" spans="1:122" x14ac:dyDescent="0.25">
      <c r="A411" s="35">
        <v>121</v>
      </c>
      <c r="B411" s="36" t="s">
        <v>235</v>
      </c>
      <c r="C411" s="36" t="s">
        <v>37</v>
      </c>
      <c r="D411" s="36" t="s">
        <v>18</v>
      </c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>
        <v>1</v>
      </c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56">
        <v>12</v>
      </c>
      <c r="DQ411" s="37">
        <v>1</v>
      </c>
      <c r="DR411" s="37">
        <f>PRODUCT(Таблица1[[#This Row],[Столбец4]:[РЕГ НТЛ]])</f>
        <v>12</v>
      </c>
    </row>
    <row r="412" spans="1:122" x14ac:dyDescent="0.25">
      <c r="A412" s="35">
        <v>121</v>
      </c>
      <c r="B412" s="36" t="s">
        <v>235</v>
      </c>
      <c r="C412" s="36" t="s">
        <v>37</v>
      </c>
      <c r="D412" s="36" t="s">
        <v>18</v>
      </c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>
        <v>3</v>
      </c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  <c r="DO412" s="36"/>
      <c r="DP412" s="55">
        <v>0</v>
      </c>
      <c r="DQ412" s="37">
        <v>1</v>
      </c>
      <c r="DR412" s="37">
        <f>PRODUCT(Таблица1[[#This Row],[Столбец4]:[РЕГ НТЛ]])</f>
        <v>0</v>
      </c>
    </row>
    <row r="413" spans="1:122" x14ac:dyDescent="0.25">
      <c r="A413" s="35">
        <v>121</v>
      </c>
      <c r="B413" s="36" t="s">
        <v>235</v>
      </c>
      <c r="C413" s="36" t="s">
        <v>37</v>
      </c>
      <c r="D413" s="36" t="s">
        <v>18</v>
      </c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>
        <v>1</v>
      </c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55">
        <v>0</v>
      </c>
      <c r="DQ413" s="37">
        <v>1</v>
      </c>
      <c r="DR413" s="37">
        <f>PRODUCT(Таблица1[[#This Row],[Столбец4]:[РЕГ НТЛ]])</f>
        <v>0</v>
      </c>
    </row>
    <row r="414" spans="1:122" x14ac:dyDescent="0.25">
      <c r="A414" s="35">
        <v>121</v>
      </c>
      <c r="B414" s="36" t="s">
        <v>235</v>
      </c>
      <c r="C414" s="36" t="s">
        <v>37</v>
      </c>
      <c r="D414" s="36" t="s">
        <v>18</v>
      </c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>
        <v>1</v>
      </c>
      <c r="DM414" s="36"/>
      <c r="DN414" s="36"/>
      <c r="DO414" s="36"/>
      <c r="DP414" s="55">
        <v>0</v>
      </c>
      <c r="DQ414" s="37">
        <v>1</v>
      </c>
      <c r="DR414" s="37">
        <f>PRODUCT(Таблица1[[#This Row],[Столбец4]:[РЕГ НТЛ]])</f>
        <v>0</v>
      </c>
    </row>
    <row r="415" spans="1:122" x14ac:dyDescent="0.25">
      <c r="A415" s="38">
        <v>285</v>
      </c>
      <c r="B415" s="39" t="s">
        <v>305</v>
      </c>
      <c r="C415" s="36" t="s">
        <v>249</v>
      </c>
      <c r="D415" s="39" t="s">
        <v>184</v>
      </c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>
        <v>3</v>
      </c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  <c r="DH415" s="39"/>
      <c r="DI415" s="39"/>
      <c r="DJ415" s="39"/>
      <c r="DK415" s="39"/>
      <c r="DL415" s="39"/>
      <c r="DM415" s="39"/>
      <c r="DN415" s="39"/>
      <c r="DO415" s="39"/>
      <c r="DP415" s="55">
        <v>0</v>
      </c>
      <c r="DQ415" s="40">
        <v>0</v>
      </c>
      <c r="DR415" s="40">
        <f>PRODUCT(Таблица1[[#This Row],[Столбец4]:[РЕГ НТЛ]])</f>
        <v>0</v>
      </c>
    </row>
    <row r="416" spans="1:122" x14ac:dyDescent="0.25">
      <c r="A416" s="35">
        <v>285</v>
      </c>
      <c r="B416" s="36" t="s">
        <v>305</v>
      </c>
      <c r="C416" s="36" t="s">
        <v>249</v>
      </c>
      <c r="D416" s="36" t="s">
        <v>184</v>
      </c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>
        <v>7</v>
      </c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55">
        <v>0</v>
      </c>
      <c r="DQ416" s="37">
        <v>0</v>
      </c>
      <c r="DR416" s="37">
        <f>PRODUCT(Таблица1[[#This Row],[Столбец4]:[РЕГ НТЛ]])</f>
        <v>0</v>
      </c>
    </row>
    <row r="417" spans="1:122" x14ac:dyDescent="0.25">
      <c r="A417" s="10">
        <v>39</v>
      </c>
      <c r="B417" s="2" t="s">
        <v>306</v>
      </c>
      <c r="C417" s="2" t="s">
        <v>28</v>
      </c>
      <c r="D417" s="2" t="s">
        <v>29</v>
      </c>
      <c r="E417" s="8"/>
      <c r="F417" s="2"/>
      <c r="G417" s="2"/>
      <c r="H417" s="2">
        <v>8.6</v>
      </c>
      <c r="I417" s="2">
        <v>8.4</v>
      </c>
      <c r="J417" s="2">
        <v>9.6</v>
      </c>
      <c r="K417" s="2">
        <v>8.6</v>
      </c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13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56">
        <v>0</v>
      </c>
      <c r="DQ417" s="23">
        <v>1</v>
      </c>
      <c r="DR417" s="23">
        <f>PRODUCT(Таблица1[[#This Row],[Столбец4]:[РЕГ НТЛ]])</f>
        <v>0</v>
      </c>
    </row>
    <row r="418" spans="1:122" x14ac:dyDescent="0.25">
      <c r="A418" s="10">
        <v>39</v>
      </c>
      <c r="B418" s="2" t="s">
        <v>306</v>
      </c>
      <c r="C418" s="2" t="s">
        <v>28</v>
      </c>
      <c r="D418" s="2" t="s">
        <v>29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69">
        <v>9.8000000000000007</v>
      </c>
      <c r="P418" s="69">
        <v>10</v>
      </c>
      <c r="Q418" s="69">
        <v>9.8000000000000007</v>
      </c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56">
        <v>0</v>
      </c>
      <c r="DQ418" s="23">
        <v>1</v>
      </c>
      <c r="DR418" s="23">
        <f>PRODUCT(Таблица1[[#This Row],[Столбец4]:[РЕГ НТЛ]])</f>
        <v>0</v>
      </c>
    </row>
    <row r="419" spans="1:122" x14ac:dyDescent="0.25">
      <c r="A419" s="10">
        <v>37</v>
      </c>
      <c r="B419" s="2" t="s">
        <v>307</v>
      </c>
      <c r="C419" s="2" t="s">
        <v>30</v>
      </c>
      <c r="D419" s="2" t="s">
        <v>12</v>
      </c>
      <c r="E419" s="8">
        <v>3</v>
      </c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1"/>
      <c r="BD419" s="1"/>
      <c r="BE419" s="1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13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55">
        <v>0</v>
      </c>
      <c r="DQ419" s="23">
        <v>1</v>
      </c>
      <c r="DR419" s="23">
        <f>PRODUCT(Таблица1[[#This Row],[Столбец4]:[РЕГ НТЛ]])</f>
        <v>0</v>
      </c>
    </row>
    <row r="420" spans="1:122" x14ac:dyDescent="0.25">
      <c r="A420" s="10">
        <v>37</v>
      </c>
      <c r="B420" s="2" t="s">
        <v>307</v>
      </c>
      <c r="C420" s="2" t="s">
        <v>30</v>
      </c>
      <c r="D420" s="2" t="s">
        <v>12</v>
      </c>
      <c r="E420" s="2"/>
      <c r="F420" s="2">
        <v>2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56">
        <v>0</v>
      </c>
      <c r="DQ420" s="23">
        <v>1</v>
      </c>
      <c r="DR420" s="23">
        <f>PRODUCT(Таблица1[[#This Row],[Столбец4]:[РЕГ НТЛ]])</f>
        <v>0</v>
      </c>
    </row>
    <row r="421" spans="1:122" x14ac:dyDescent="0.25">
      <c r="A421" s="44">
        <v>37</v>
      </c>
      <c r="B421" s="19" t="s">
        <v>307</v>
      </c>
      <c r="C421" s="2" t="s">
        <v>30</v>
      </c>
      <c r="D421" s="19" t="s">
        <v>12</v>
      </c>
      <c r="E421" s="19"/>
      <c r="F421" s="19"/>
      <c r="G421" s="19">
        <v>1</v>
      </c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46"/>
      <c r="X421" s="46"/>
      <c r="Y421" s="46"/>
      <c r="Z421" s="46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58">
        <v>0</v>
      </c>
      <c r="DQ421" s="24">
        <v>1</v>
      </c>
      <c r="DR421" s="24">
        <f>PRODUCT(Таблица1[[#This Row],[Столбец4]:[РЕГ НТЛ]])</f>
        <v>0</v>
      </c>
    </row>
    <row r="422" spans="1:122" x14ac:dyDescent="0.25">
      <c r="A422" s="38">
        <v>82</v>
      </c>
      <c r="B422" s="39" t="s">
        <v>308</v>
      </c>
      <c r="C422" s="36" t="s">
        <v>23</v>
      </c>
      <c r="D422" s="39" t="s">
        <v>155</v>
      </c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>
        <v>9</v>
      </c>
      <c r="AS422" s="39">
        <v>8.6</v>
      </c>
      <c r="AT422" s="39">
        <v>9</v>
      </c>
      <c r="AU422" s="39">
        <v>9.1999999999999993</v>
      </c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  <c r="CV422" s="39"/>
      <c r="CW422" s="39"/>
      <c r="CX422" s="39"/>
      <c r="CY422" s="39"/>
      <c r="CZ422" s="39"/>
      <c r="DA422" s="39"/>
      <c r="DB422" s="39"/>
      <c r="DC422" s="39"/>
      <c r="DD422" s="39"/>
      <c r="DE422" s="39"/>
      <c r="DF422" s="39"/>
      <c r="DG422" s="39"/>
      <c r="DH422" s="39"/>
      <c r="DI422" s="39"/>
      <c r="DJ422" s="39"/>
      <c r="DK422" s="39"/>
      <c r="DL422" s="39"/>
      <c r="DM422" s="39"/>
      <c r="DN422" s="39"/>
      <c r="DO422" s="39"/>
      <c r="DP422" s="58">
        <v>0</v>
      </c>
      <c r="DQ422" s="40">
        <v>1</v>
      </c>
      <c r="DR422" s="40">
        <f>PRODUCT(Таблица1[[#This Row],[Столбец4]:[РЕГ НТЛ]])</f>
        <v>0</v>
      </c>
    </row>
    <row r="423" spans="1:122" x14ac:dyDescent="0.25">
      <c r="A423" s="35">
        <v>59</v>
      </c>
      <c r="B423" s="36" t="s">
        <v>309</v>
      </c>
      <c r="C423" s="36" t="s">
        <v>28</v>
      </c>
      <c r="D423" s="36" t="s">
        <v>11</v>
      </c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>
        <v>4</v>
      </c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56">
        <v>0</v>
      </c>
      <c r="DQ423" s="37">
        <v>1</v>
      </c>
      <c r="DR423" s="37">
        <f>PRODUCT(Таблица1[[#This Row],[Столбец4]:[РЕГ НТЛ]])</f>
        <v>0</v>
      </c>
    </row>
    <row r="424" spans="1:122" x14ac:dyDescent="0.25">
      <c r="A424" s="35">
        <v>59</v>
      </c>
      <c r="B424" s="36" t="s">
        <v>309</v>
      </c>
      <c r="C424" s="36" t="s">
        <v>28</v>
      </c>
      <c r="D424" s="36" t="s">
        <v>11</v>
      </c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>
        <v>2</v>
      </c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  <c r="DO424" s="36"/>
      <c r="DP424" s="56">
        <v>0</v>
      </c>
      <c r="DQ424" s="37">
        <v>1</v>
      </c>
      <c r="DR424" s="37">
        <f>PRODUCT(Таблица1[[#This Row],[Столбец4]:[РЕГ НТЛ]])</f>
        <v>0</v>
      </c>
    </row>
    <row r="425" spans="1:122" x14ac:dyDescent="0.25">
      <c r="A425" s="35">
        <v>33</v>
      </c>
      <c r="B425" s="36" t="s">
        <v>220</v>
      </c>
      <c r="C425" s="36" t="s">
        <v>37</v>
      </c>
      <c r="D425" s="36" t="s">
        <v>19</v>
      </c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>
        <v>2</v>
      </c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55">
        <v>0</v>
      </c>
      <c r="DQ425" s="37">
        <v>1</v>
      </c>
      <c r="DR425" s="37">
        <f>PRODUCT(Таблица1[[#This Row],[Столбец4]:[РЕГ НТЛ]])</f>
        <v>0</v>
      </c>
    </row>
    <row r="426" spans="1:122" x14ac:dyDescent="0.25">
      <c r="A426" s="35">
        <v>33</v>
      </c>
      <c r="B426" s="36" t="s">
        <v>220</v>
      </c>
      <c r="C426" s="36" t="s">
        <v>37</v>
      </c>
      <c r="D426" s="36" t="s">
        <v>19</v>
      </c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>
        <v>3</v>
      </c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  <c r="DO426" s="36"/>
      <c r="DP426" s="55">
        <v>0</v>
      </c>
      <c r="DQ426" s="37">
        <v>1</v>
      </c>
      <c r="DR426" s="37">
        <f>PRODUCT(Таблица1[[#This Row],[Столбец4]:[РЕГ НТЛ]])</f>
        <v>0</v>
      </c>
    </row>
    <row r="427" spans="1:122" x14ac:dyDescent="0.25">
      <c r="A427" s="38">
        <v>86</v>
      </c>
      <c r="B427" s="36" t="s">
        <v>310</v>
      </c>
      <c r="C427" s="36" t="s">
        <v>28</v>
      </c>
      <c r="D427" s="39" t="s">
        <v>11</v>
      </c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>
        <v>3</v>
      </c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55">
        <v>0</v>
      </c>
      <c r="DQ427" s="40">
        <v>1</v>
      </c>
      <c r="DR427" s="40">
        <f>PRODUCT(Таблица1[[#This Row],[Столбец4]:[РЕГ НТЛ]])</f>
        <v>0</v>
      </c>
    </row>
    <row r="428" spans="1:122" x14ac:dyDescent="0.25">
      <c r="A428" s="35">
        <v>86</v>
      </c>
      <c r="B428" s="36" t="s">
        <v>310</v>
      </c>
      <c r="C428" s="36" t="s">
        <v>28</v>
      </c>
      <c r="D428" s="36" t="s">
        <v>11</v>
      </c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>
        <v>3</v>
      </c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  <c r="DO428" s="36"/>
      <c r="DP428" s="55">
        <v>0</v>
      </c>
      <c r="DQ428" s="37">
        <v>1</v>
      </c>
      <c r="DR428" s="37">
        <f>PRODUCT(Таблица1[[#This Row],[Столбец4]:[РЕГ НТЛ]])</f>
        <v>0</v>
      </c>
    </row>
    <row r="429" spans="1:122" x14ac:dyDescent="0.25">
      <c r="A429" s="35">
        <v>86</v>
      </c>
      <c r="B429" s="36" t="s">
        <v>310</v>
      </c>
      <c r="C429" s="36" t="s">
        <v>28</v>
      </c>
      <c r="D429" s="36" t="s">
        <v>11</v>
      </c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>
        <v>2</v>
      </c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  <c r="DO429" s="36"/>
      <c r="DP429" s="56">
        <v>0</v>
      </c>
      <c r="DQ429" s="37">
        <v>1</v>
      </c>
      <c r="DR429" s="37">
        <f>PRODUCT(Таблица1[[#This Row],[Столбец4]:[РЕГ НТЛ]])</f>
        <v>0</v>
      </c>
    </row>
    <row r="430" spans="1:122" x14ac:dyDescent="0.25">
      <c r="A430" s="35">
        <v>93</v>
      </c>
      <c r="B430" s="36" t="s">
        <v>236</v>
      </c>
      <c r="C430" s="36" t="s">
        <v>28</v>
      </c>
      <c r="D430" s="36" t="s">
        <v>11</v>
      </c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>
        <v>2</v>
      </c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56">
        <v>8</v>
      </c>
      <c r="DQ430" s="37">
        <v>1</v>
      </c>
      <c r="DR430" s="37">
        <f>PRODUCT(Таблица1[[#This Row],[Столбец4]:[РЕГ НТЛ]])</f>
        <v>8</v>
      </c>
    </row>
    <row r="431" spans="1:122" x14ac:dyDescent="0.25">
      <c r="A431" s="35">
        <v>93</v>
      </c>
      <c r="B431" s="36" t="s">
        <v>236</v>
      </c>
      <c r="C431" s="36" t="s">
        <v>28</v>
      </c>
      <c r="D431" s="36" t="s">
        <v>11</v>
      </c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>
        <v>1</v>
      </c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56">
        <v>0</v>
      </c>
      <c r="DQ431" s="37">
        <v>1</v>
      </c>
      <c r="DR431" s="37">
        <f>PRODUCT(Таблица1[[#This Row],[Столбец4]:[РЕГ НТЛ]])</f>
        <v>0</v>
      </c>
    </row>
    <row r="432" spans="1:122" x14ac:dyDescent="0.25">
      <c r="A432" s="35">
        <v>93</v>
      </c>
      <c r="B432" s="36" t="s">
        <v>236</v>
      </c>
      <c r="C432" s="36" t="s">
        <v>28</v>
      </c>
      <c r="D432" s="36" t="s">
        <v>11</v>
      </c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>
        <v>1</v>
      </c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  <c r="DO432" s="36"/>
      <c r="DP432" s="55">
        <v>0</v>
      </c>
      <c r="DQ432" s="37">
        <v>1</v>
      </c>
      <c r="DR432" s="37">
        <f>PRODUCT(Таблица1[[#This Row],[Столбец4]:[РЕГ НТЛ]])</f>
        <v>0</v>
      </c>
    </row>
    <row r="433" spans="1:122" x14ac:dyDescent="0.25">
      <c r="A433" s="38">
        <v>105</v>
      </c>
      <c r="B433" s="39" t="s">
        <v>311</v>
      </c>
      <c r="C433" s="39" t="s">
        <v>28</v>
      </c>
      <c r="D433" s="39" t="s">
        <v>11</v>
      </c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>
        <v>2</v>
      </c>
      <c r="DD433" s="39"/>
      <c r="DE433" s="39"/>
      <c r="DF433" s="39"/>
      <c r="DG433" s="39"/>
      <c r="DH433" s="39"/>
      <c r="DI433" s="39"/>
      <c r="DJ433" s="39"/>
      <c r="DK433" s="39"/>
      <c r="DL433" s="39"/>
      <c r="DM433" s="39"/>
      <c r="DN433" s="39"/>
      <c r="DO433" s="39"/>
      <c r="DP433" s="55">
        <v>4</v>
      </c>
      <c r="DQ433" s="40">
        <v>1</v>
      </c>
      <c r="DR433" s="40">
        <f>PRODUCT(Таблица1[[#This Row],[Столбец4]:[РЕГ НТЛ]])</f>
        <v>4</v>
      </c>
    </row>
    <row r="434" spans="1:122" x14ac:dyDescent="0.25">
      <c r="A434" s="10">
        <v>8</v>
      </c>
      <c r="B434" s="2" t="s">
        <v>312</v>
      </c>
      <c r="C434" s="2" t="s">
        <v>28</v>
      </c>
      <c r="D434" s="2" t="s">
        <v>29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>
        <v>8.6</v>
      </c>
      <c r="P434" s="2">
        <v>9.1999999999999993</v>
      </c>
      <c r="Q434" s="2">
        <v>8.8000000000000007</v>
      </c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55">
        <v>0</v>
      </c>
      <c r="DQ434" s="23">
        <v>0</v>
      </c>
      <c r="DR434" s="23">
        <f>PRODUCT(Таблица1[[#This Row],[Столбец4]:[РЕГ НТЛ]])</f>
        <v>0</v>
      </c>
    </row>
    <row r="435" spans="1:122" x14ac:dyDescent="0.25">
      <c r="A435" s="35">
        <v>76</v>
      </c>
      <c r="B435" s="36" t="s">
        <v>313</v>
      </c>
      <c r="C435" s="36" t="s">
        <v>28</v>
      </c>
      <c r="D435" s="36" t="s">
        <v>29</v>
      </c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>
        <v>9.6</v>
      </c>
      <c r="AS435" s="36">
        <v>9.1999999999999993</v>
      </c>
      <c r="AT435" s="36">
        <v>9.4</v>
      </c>
      <c r="AU435" s="36">
        <v>9.1999999999999993</v>
      </c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55">
        <v>0</v>
      </c>
      <c r="DQ435" s="37">
        <v>1</v>
      </c>
      <c r="DR435" s="37">
        <f>PRODUCT(Таблица1[[#This Row],[Столбец4]:[РЕГ НТЛ]])</f>
        <v>0</v>
      </c>
    </row>
    <row r="436" spans="1:122" x14ac:dyDescent="0.25">
      <c r="A436" s="35">
        <v>119</v>
      </c>
      <c r="B436" s="36" t="s">
        <v>314</v>
      </c>
      <c r="C436" s="36" t="s">
        <v>32</v>
      </c>
      <c r="D436" s="36" t="s">
        <v>146</v>
      </c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>
        <v>5</v>
      </c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  <c r="CV436" s="36"/>
      <c r="CW436" s="36"/>
      <c r="CX436" s="36"/>
      <c r="CY436" s="36"/>
      <c r="CZ436" s="36"/>
      <c r="DA436" s="36"/>
      <c r="DB436" s="36"/>
      <c r="DC436" s="36"/>
      <c r="DD436" s="36"/>
      <c r="DE436" s="36"/>
      <c r="DF436" s="36"/>
      <c r="DG436" s="36"/>
      <c r="DH436" s="36"/>
      <c r="DI436" s="36"/>
      <c r="DJ436" s="36"/>
      <c r="DK436" s="36"/>
      <c r="DL436" s="36"/>
      <c r="DM436" s="36"/>
      <c r="DN436" s="36"/>
      <c r="DO436" s="36"/>
      <c r="DP436" s="55">
        <v>4</v>
      </c>
      <c r="DQ436" s="37">
        <v>0</v>
      </c>
      <c r="DR436" s="37">
        <f>PRODUCT(Таблица1[[#This Row],[Столбец4]:[РЕГ НТЛ]])</f>
        <v>0</v>
      </c>
    </row>
    <row r="437" spans="1:122" x14ac:dyDescent="0.25">
      <c r="A437" s="35">
        <v>80</v>
      </c>
      <c r="B437" s="36" t="s">
        <v>315</v>
      </c>
      <c r="C437" s="2" t="s">
        <v>30</v>
      </c>
      <c r="D437" s="36" t="s">
        <v>12</v>
      </c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>
        <v>1</v>
      </c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  <c r="CR437" s="36"/>
      <c r="CS437" s="36"/>
      <c r="CT437" s="36"/>
      <c r="CU437" s="36"/>
      <c r="CV437" s="36"/>
      <c r="CW437" s="36"/>
      <c r="CX437" s="36"/>
      <c r="CY437" s="36"/>
      <c r="CZ437" s="36"/>
      <c r="DA437" s="36"/>
      <c r="DB437" s="36"/>
      <c r="DC437" s="36"/>
      <c r="DD437" s="36"/>
      <c r="DE437" s="36"/>
      <c r="DF437" s="36"/>
      <c r="DG437" s="36"/>
      <c r="DH437" s="36"/>
      <c r="DI437" s="36"/>
      <c r="DJ437" s="36"/>
      <c r="DK437" s="36"/>
      <c r="DL437" s="36"/>
      <c r="DM437" s="36"/>
      <c r="DN437" s="36"/>
      <c r="DO437" s="36"/>
      <c r="DP437" s="55">
        <v>0</v>
      </c>
      <c r="DQ437" s="37">
        <v>1</v>
      </c>
      <c r="DR437" s="37">
        <f>PRODUCT(Таблица1[[#This Row],[Столбец4]:[РЕГ НТЛ]])</f>
        <v>0</v>
      </c>
    </row>
    <row r="438" spans="1:122" x14ac:dyDescent="0.25">
      <c r="A438" s="38">
        <v>80</v>
      </c>
      <c r="B438" s="39" t="s">
        <v>315</v>
      </c>
      <c r="C438" s="19" t="s">
        <v>30</v>
      </c>
      <c r="D438" s="39" t="s">
        <v>12</v>
      </c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>
        <v>2</v>
      </c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  <c r="DG438" s="39"/>
      <c r="DH438" s="39"/>
      <c r="DI438" s="39"/>
      <c r="DJ438" s="39"/>
      <c r="DK438" s="39"/>
      <c r="DL438" s="39"/>
      <c r="DM438" s="39"/>
      <c r="DN438" s="39"/>
      <c r="DO438" s="39"/>
      <c r="DP438" s="55">
        <v>0</v>
      </c>
      <c r="DQ438" s="40">
        <v>1</v>
      </c>
      <c r="DR438" s="40">
        <f>PRODUCT(Таблица1[[#This Row],[Столбец4]:[РЕГ НТЛ]])</f>
        <v>0</v>
      </c>
    </row>
    <row r="439" spans="1:122" x14ac:dyDescent="0.25">
      <c r="A439" s="10">
        <v>276</v>
      </c>
      <c r="B439" s="2" t="s">
        <v>316</v>
      </c>
      <c r="C439" s="19" t="s">
        <v>40</v>
      </c>
      <c r="D439" s="2" t="s">
        <v>41</v>
      </c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>
        <v>8.4</v>
      </c>
      <c r="P439" s="2">
        <v>8.4</v>
      </c>
      <c r="Q439" s="2">
        <v>8.6</v>
      </c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55">
        <v>0</v>
      </c>
      <c r="DQ439" s="37">
        <v>0</v>
      </c>
      <c r="DR439" s="23">
        <f>PRODUCT(Таблица1[[#This Row],[Столбец4]:[РЕГ НТЛ]])</f>
        <v>0</v>
      </c>
    </row>
    <row r="440" spans="1:122" x14ac:dyDescent="0.25">
      <c r="A440" s="10">
        <v>276</v>
      </c>
      <c r="B440" s="2" t="s">
        <v>316</v>
      </c>
      <c r="C440" s="19" t="s">
        <v>40</v>
      </c>
      <c r="D440" s="2" t="s">
        <v>14</v>
      </c>
      <c r="E440" s="2"/>
      <c r="F440" s="2"/>
      <c r="G440" s="2">
        <v>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55">
        <v>0</v>
      </c>
      <c r="DQ440" s="37">
        <v>0</v>
      </c>
      <c r="DR440" s="23">
        <f>PRODUCT(Таблица1[[#This Row],[Столбец4]:[РЕГ НТЛ]])</f>
        <v>0</v>
      </c>
    </row>
    <row r="441" spans="1:122" x14ac:dyDescent="0.25">
      <c r="A441" s="10">
        <v>18</v>
      </c>
      <c r="B441" s="2" t="s">
        <v>317</v>
      </c>
      <c r="C441" s="19" t="s">
        <v>30</v>
      </c>
      <c r="D441" s="2" t="s">
        <v>31</v>
      </c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>
        <v>8.4</v>
      </c>
      <c r="P441" s="2">
        <v>9</v>
      </c>
      <c r="Q441" s="2">
        <v>9.6</v>
      </c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14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55">
        <v>0</v>
      </c>
      <c r="DQ441" s="23">
        <v>1</v>
      </c>
      <c r="DR441" s="23">
        <f>PRODUCT(Таблица1[[#This Row],[Столбец4]:[РЕГ НТЛ]])</f>
        <v>0</v>
      </c>
    </row>
    <row r="442" spans="1:122" x14ac:dyDescent="0.25">
      <c r="A442" s="44">
        <v>20</v>
      </c>
      <c r="B442" s="19" t="s">
        <v>318</v>
      </c>
      <c r="C442" s="19" t="s">
        <v>40</v>
      </c>
      <c r="D442" s="19" t="s">
        <v>41</v>
      </c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>
        <v>9.4</v>
      </c>
      <c r="P442" s="19">
        <v>9.8000000000000007</v>
      </c>
      <c r="Q442" s="19">
        <v>9.6</v>
      </c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55">
        <v>0</v>
      </c>
      <c r="DQ442" s="40">
        <v>0</v>
      </c>
      <c r="DR442" s="24">
        <f>PRODUCT(Таблица1[[#This Row],[Столбец4]:[РЕГ НТЛ]])</f>
        <v>0</v>
      </c>
    </row>
    <row r="443" spans="1:122" x14ac:dyDescent="0.25">
      <c r="A443" s="10">
        <v>20</v>
      </c>
      <c r="B443" s="2" t="s">
        <v>318</v>
      </c>
      <c r="C443" s="19" t="s">
        <v>40</v>
      </c>
      <c r="D443" s="2" t="s">
        <v>14</v>
      </c>
      <c r="E443" s="2"/>
      <c r="F443" s="2"/>
      <c r="G443" s="2">
        <v>6</v>
      </c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55">
        <v>0</v>
      </c>
      <c r="DQ443" s="37">
        <v>0</v>
      </c>
      <c r="DR443" s="23">
        <f>PRODUCT(Таблица1[[#This Row],[Столбец4]:[РЕГ НТЛ]])</f>
        <v>0</v>
      </c>
    </row>
    <row r="444" spans="1:122" x14ac:dyDescent="0.25">
      <c r="A444" s="35">
        <v>97</v>
      </c>
      <c r="B444" s="36" t="s">
        <v>237</v>
      </c>
      <c r="C444" s="39" t="s">
        <v>28</v>
      </c>
      <c r="D444" s="36" t="s">
        <v>11</v>
      </c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>
        <v>3</v>
      </c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  <c r="CV444" s="36"/>
      <c r="CW444" s="36"/>
      <c r="CX444" s="36"/>
      <c r="CY444" s="36"/>
      <c r="CZ444" s="36"/>
      <c r="DA444" s="36"/>
      <c r="DB444" s="36"/>
      <c r="DC444" s="36"/>
      <c r="DD444" s="36"/>
      <c r="DE444" s="36"/>
      <c r="DF444" s="36"/>
      <c r="DG444" s="36"/>
      <c r="DH444" s="36"/>
      <c r="DI444" s="36"/>
      <c r="DJ444" s="36"/>
      <c r="DK444" s="36"/>
      <c r="DL444" s="36"/>
      <c r="DM444" s="36"/>
      <c r="DN444" s="36"/>
      <c r="DO444" s="36"/>
      <c r="DP444" s="55">
        <v>0</v>
      </c>
      <c r="DQ444" s="37">
        <v>1</v>
      </c>
      <c r="DR444" s="37">
        <f>PRODUCT(Таблица1[[#This Row],[Столбец4]:[РЕГ НТЛ]])</f>
        <v>0</v>
      </c>
    </row>
    <row r="445" spans="1:122" x14ac:dyDescent="0.25">
      <c r="A445" s="35">
        <v>97</v>
      </c>
      <c r="B445" s="36" t="s">
        <v>237</v>
      </c>
      <c r="C445" s="39" t="s">
        <v>28</v>
      </c>
      <c r="D445" s="36" t="s">
        <v>11</v>
      </c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>
        <v>3</v>
      </c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  <c r="DO445" s="36"/>
      <c r="DP445" s="55">
        <v>0</v>
      </c>
      <c r="DQ445" s="37">
        <v>1</v>
      </c>
      <c r="DR445" s="37">
        <f>PRODUCT(Таблица1[[#This Row],[Столбец4]:[РЕГ НТЛ]])</f>
        <v>0</v>
      </c>
    </row>
    <row r="446" spans="1:122" x14ac:dyDescent="0.25">
      <c r="A446" s="44">
        <v>43</v>
      </c>
      <c r="B446" s="19" t="s">
        <v>319</v>
      </c>
      <c r="C446" s="19" t="s">
        <v>28</v>
      </c>
      <c r="D446" s="19" t="s">
        <v>29</v>
      </c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>
        <v>9.1999999999999993</v>
      </c>
      <c r="P446" s="19">
        <v>8.4</v>
      </c>
      <c r="Q446" s="19">
        <v>9</v>
      </c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55">
        <v>0</v>
      </c>
      <c r="DQ446" s="24">
        <v>1</v>
      </c>
      <c r="DR446" s="24">
        <f>PRODUCT(Таблица1[[#This Row],[Столбец4]:[РЕГ НТЛ]])</f>
        <v>0</v>
      </c>
    </row>
    <row r="447" spans="1:122" x14ac:dyDescent="0.25">
      <c r="A447" s="35">
        <v>69</v>
      </c>
      <c r="B447" s="39" t="s">
        <v>320</v>
      </c>
      <c r="C447" s="36" t="s">
        <v>28</v>
      </c>
      <c r="D447" s="36" t="s">
        <v>11</v>
      </c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>
        <v>8</v>
      </c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55">
        <v>0</v>
      </c>
      <c r="DQ447" s="37">
        <v>1</v>
      </c>
      <c r="DR447" s="37">
        <f>PRODUCT(Таблица1[[#This Row],[Столбец4]:[РЕГ НТЛ]])</f>
        <v>0</v>
      </c>
    </row>
    <row r="448" spans="1:122" x14ac:dyDescent="0.25">
      <c r="A448" s="35">
        <v>69</v>
      </c>
      <c r="B448" s="39" t="s">
        <v>320</v>
      </c>
      <c r="C448" s="36" t="s">
        <v>28</v>
      </c>
      <c r="D448" s="36" t="s">
        <v>11</v>
      </c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>
        <v>1</v>
      </c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55">
        <v>0</v>
      </c>
      <c r="DQ448" s="37">
        <v>1</v>
      </c>
      <c r="DR448" s="37">
        <f>PRODUCT(Таблица1[[#This Row],[Столбец4]:[РЕГ НТЛ]])</f>
        <v>0</v>
      </c>
    </row>
    <row r="449" spans="1:122" x14ac:dyDescent="0.25">
      <c r="A449" s="35">
        <v>69</v>
      </c>
      <c r="B449" s="36" t="s">
        <v>320</v>
      </c>
      <c r="C449" s="36" t="s">
        <v>28</v>
      </c>
      <c r="D449" s="36" t="s">
        <v>11</v>
      </c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>
        <v>5</v>
      </c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  <c r="CV449" s="36"/>
      <c r="CW449" s="36"/>
      <c r="CX449" s="36"/>
      <c r="CY449" s="36"/>
      <c r="CZ449" s="36"/>
      <c r="DA449" s="36"/>
      <c r="DB449" s="36"/>
      <c r="DC449" s="36"/>
      <c r="DD449" s="36"/>
      <c r="DE449" s="36"/>
      <c r="DF449" s="36"/>
      <c r="DG449" s="36"/>
      <c r="DH449" s="36"/>
      <c r="DI449" s="36"/>
      <c r="DJ449" s="36"/>
      <c r="DK449" s="36"/>
      <c r="DL449" s="36"/>
      <c r="DM449" s="36"/>
      <c r="DN449" s="36"/>
      <c r="DO449" s="36"/>
      <c r="DP449" s="55">
        <v>0</v>
      </c>
      <c r="DQ449" s="37">
        <v>1</v>
      </c>
      <c r="DR449" s="37">
        <f>PRODUCT(Таблица1[[#This Row],[Столбец4]:[РЕГ НТЛ]])</f>
        <v>0</v>
      </c>
    </row>
    <row r="450" spans="1:122" x14ac:dyDescent="0.25">
      <c r="A450" s="35">
        <v>69</v>
      </c>
      <c r="B450" s="36" t="s">
        <v>320</v>
      </c>
      <c r="C450" s="36" t="s">
        <v>28</v>
      </c>
      <c r="D450" s="36" t="s">
        <v>11</v>
      </c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>
        <v>6</v>
      </c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36"/>
      <c r="DP450" s="55">
        <v>0</v>
      </c>
      <c r="DQ450" s="37">
        <v>1</v>
      </c>
      <c r="DR450" s="37">
        <f>PRODUCT(Таблица1[[#This Row],[Столбец4]:[РЕГ НТЛ]])</f>
        <v>0</v>
      </c>
    </row>
    <row r="451" spans="1:122" x14ac:dyDescent="0.25">
      <c r="A451" s="38">
        <v>98</v>
      </c>
      <c r="B451" s="39" t="s">
        <v>322</v>
      </c>
      <c r="C451" s="39" t="s">
        <v>28</v>
      </c>
      <c r="D451" s="39" t="s">
        <v>29</v>
      </c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>
        <v>8.6</v>
      </c>
      <c r="CK451" s="39">
        <v>8.4</v>
      </c>
      <c r="CL451" s="39">
        <v>9</v>
      </c>
      <c r="CM451" s="39">
        <v>8.1999999999999993</v>
      </c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  <c r="DH451" s="39"/>
      <c r="DI451" s="39"/>
      <c r="DJ451" s="39"/>
      <c r="DK451" s="39"/>
      <c r="DL451" s="39"/>
      <c r="DM451" s="39"/>
      <c r="DN451" s="39"/>
      <c r="DO451" s="39"/>
      <c r="DP451" s="55">
        <v>0</v>
      </c>
      <c r="DQ451" s="40">
        <v>1</v>
      </c>
      <c r="DR451" s="40">
        <f>PRODUCT(Таблица1[[#This Row],[Столбец4]:[РЕГ НТЛ]])</f>
        <v>0</v>
      </c>
    </row>
    <row r="452" spans="1:122" x14ac:dyDescent="0.25">
      <c r="A452" s="10">
        <v>38</v>
      </c>
      <c r="B452" s="2" t="s">
        <v>324</v>
      </c>
      <c r="C452" s="2" t="s">
        <v>30</v>
      </c>
      <c r="D452" s="2" t="s">
        <v>31</v>
      </c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>
        <v>8.6</v>
      </c>
      <c r="P452" s="2">
        <v>9</v>
      </c>
      <c r="Q452" s="2">
        <v>9.6</v>
      </c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55">
        <v>0</v>
      </c>
      <c r="DQ452" s="23">
        <v>1</v>
      </c>
      <c r="DR452" s="23">
        <f>PRODUCT(Таблица1[[#This Row],[Столбец4]:[РЕГ НТЛ]])</f>
        <v>0</v>
      </c>
    </row>
    <row r="453" spans="1:122" x14ac:dyDescent="0.25">
      <c r="A453" s="38">
        <v>112</v>
      </c>
      <c r="B453" s="39" t="s">
        <v>238</v>
      </c>
      <c r="C453" s="36" t="s">
        <v>28</v>
      </c>
      <c r="D453" s="39" t="s">
        <v>11</v>
      </c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  <c r="DH453" s="39"/>
      <c r="DI453" s="39">
        <v>2</v>
      </c>
      <c r="DJ453" s="39"/>
      <c r="DK453" s="39"/>
      <c r="DL453" s="39"/>
      <c r="DM453" s="39"/>
      <c r="DN453" s="39"/>
      <c r="DO453" s="39"/>
      <c r="DP453" s="58">
        <v>8</v>
      </c>
      <c r="DQ453" s="40">
        <v>1</v>
      </c>
      <c r="DR453" s="40">
        <f>PRODUCT(Таблица1[[#This Row],[Столбец4]:[РЕГ НТЛ]])</f>
        <v>8</v>
      </c>
    </row>
    <row r="454" spans="1:122" x14ac:dyDescent="0.25">
      <c r="A454" s="35">
        <v>112</v>
      </c>
      <c r="B454" s="36" t="s">
        <v>238</v>
      </c>
      <c r="C454" s="36" t="s">
        <v>28</v>
      </c>
      <c r="D454" s="36" t="s">
        <v>11</v>
      </c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>
        <v>2</v>
      </c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  <c r="CV454" s="36"/>
      <c r="CW454" s="36"/>
      <c r="CX454" s="36"/>
      <c r="CY454" s="36"/>
      <c r="CZ454" s="36"/>
      <c r="DA454" s="36"/>
      <c r="DB454" s="36"/>
      <c r="DC454" s="36"/>
      <c r="DD454" s="36"/>
      <c r="DE454" s="36"/>
      <c r="DF454" s="36"/>
      <c r="DG454" s="36"/>
      <c r="DH454" s="36"/>
      <c r="DI454" s="36"/>
      <c r="DJ454" s="36"/>
      <c r="DK454" s="36"/>
      <c r="DL454" s="36"/>
      <c r="DM454" s="36"/>
      <c r="DN454" s="36"/>
      <c r="DO454" s="36"/>
      <c r="DP454" s="56">
        <v>0</v>
      </c>
      <c r="DQ454" s="37">
        <v>1</v>
      </c>
      <c r="DR454" s="37">
        <f>PRODUCT(Таблица1[[#This Row],[Столбец4]:[РЕГ НТЛ]])</f>
        <v>0</v>
      </c>
    </row>
    <row r="455" spans="1:122" x14ac:dyDescent="0.25">
      <c r="A455" s="35">
        <v>68</v>
      </c>
      <c r="B455" s="36" t="s">
        <v>325</v>
      </c>
      <c r="C455" s="36" t="s">
        <v>28</v>
      </c>
      <c r="D455" s="36" t="s">
        <v>29</v>
      </c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>
        <v>8.6</v>
      </c>
      <c r="AZ455" s="36">
        <v>8.8000000000000007</v>
      </c>
      <c r="BA455" s="36">
        <v>9.4</v>
      </c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  <c r="CV455" s="36"/>
      <c r="CW455" s="36"/>
      <c r="CX455" s="36"/>
      <c r="CY455" s="36"/>
      <c r="CZ455" s="36"/>
      <c r="DA455" s="36"/>
      <c r="DB455" s="36"/>
      <c r="DC455" s="36"/>
      <c r="DD455" s="36"/>
      <c r="DE455" s="36"/>
      <c r="DF455" s="36"/>
      <c r="DG455" s="36"/>
      <c r="DH455" s="36"/>
      <c r="DI455" s="36"/>
      <c r="DJ455" s="36"/>
      <c r="DK455" s="36"/>
      <c r="DL455" s="36"/>
      <c r="DM455" s="36"/>
      <c r="DN455" s="36"/>
      <c r="DO455" s="36"/>
      <c r="DP455" s="55">
        <v>0</v>
      </c>
      <c r="DQ455" s="37">
        <v>1</v>
      </c>
      <c r="DR455" s="37">
        <f>PRODUCT(Таблица1[[#This Row],[Столбец4]:[РЕГ НТЛ]])</f>
        <v>0</v>
      </c>
    </row>
    <row r="456" spans="1:122" x14ac:dyDescent="0.25">
      <c r="A456" s="35">
        <v>49</v>
      </c>
      <c r="B456" s="36" t="s">
        <v>326</v>
      </c>
      <c r="C456" s="36" t="s">
        <v>28</v>
      </c>
      <c r="D456" s="36" t="s">
        <v>29</v>
      </c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>
        <v>8.4</v>
      </c>
      <c r="AZ456" s="36">
        <v>8.4</v>
      </c>
      <c r="BA456" s="36">
        <v>9</v>
      </c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  <c r="DO456" s="36"/>
      <c r="DP456" s="55">
        <v>0</v>
      </c>
      <c r="DQ456" s="37">
        <v>0</v>
      </c>
      <c r="DR456" s="37">
        <f>PRODUCT(Таблица1[[#This Row],[Столбец4]:[РЕГ НТЛ]])</f>
        <v>0</v>
      </c>
    </row>
    <row r="457" spans="1:122" x14ac:dyDescent="0.25">
      <c r="A457" s="10">
        <v>6</v>
      </c>
      <c r="B457" s="2" t="s">
        <v>327</v>
      </c>
      <c r="C457" s="36" t="s">
        <v>23</v>
      </c>
      <c r="D457" s="2" t="s">
        <v>114</v>
      </c>
      <c r="E457" s="2"/>
      <c r="F457" s="2"/>
      <c r="G457" s="2">
        <v>5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55">
        <v>0</v>
      </c>
      <c r="DQ457" s="23">
        <v>1</v>
      </c>
      <c r="DR457" s="23">
        <f>PRODUCT(Таблица1[[#This Row],[Столбец4]:[РЕГ НТЛ]])</f>
        <v>0</v>
      </c>
    </row>
    <row r="458" spans="1:122" x14ac:dyDescent="0.25">
      <c r="A458" s="35">
        <v>91</v>
      </c>
      <c r="B458" s="36" t="s">
        <v>328</v>
      </c>
      <c r="C458" s="36" t="s">
        <v>32</v>
      </c>
      <c r="D458" s="36" t="s">
        <v>162</v>
      </c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>
        <v>9</v>
      </c>
      <c r="CO458" s="36">
        <v>9</v>
      </c>
      <c r="CP458" s="36">
        <v>9</v>
      </c>
      <c r="CQ458" s="36"/>
      <c r="CR458" s="36"/>
      <c r="CS458" s="36"/>
      <c r="CT458" s="36"/>
      <c r="CU458" s="36"/>
      <c r="CV458" s="36"/>
      <c r="CW458" s="36"/>
      <c r="CX458" s="36"/>
      <c r="CY458" s="36"/>
      <c r="CZ458" s="36"/>
      <c r="DA458" s="36"/>
      <c r="DB458" s="36"/>
      <c r="DC458" s="36"/>
      <c r="DD458" s="36"/>
      <c r="DE458" s="36"/>
      <c r="DF458" s="36"/>
      <c r="DG458" s="36"/>
      <c r="DH458" s="36"/>
      <c r="DI458" s="36"/>
      <c r="DJ458" s="36"/>
      <c r="DK458" s="36"/>
      <c r="DL458" s="36"/>
      <c r="DM458" s="36"/>
      <c r="DN458" s="36"/>
      <c r="DO458" s="36"/>
      <c r="DP458" s="56">
        <v>0</v>
      </c>
      <c r="DQ458" s="37">
        <v>0</v>
      </c>
      <c r="DR458" s="37">
        <f>PRODUCT(Таблица1[[#This Row],[Столбец4]:[РЕГ НТЛ]])</f>
        <v>0</v>
      </c>
    </row>
    <row r="459" spans="1:122" x14ac:dyDescent="0.25">
      <c r="A459" s="44">
        <v>2</v>
      </c>
      <c r="B459" s="2" t="s">
        <v>329</v>
      </c>
      <c r="C459" s="2" t="s">
        <v>30</v>
      </c>
      <c r="D459" s="19" t="s">
        <v>31</v>
      </c>
      <c r="E459" s="45"/>
      <c r="F459" s="19"/>
      <c r="G459" s="19"/>
      <c r="H459" s="19"/>
      <c r="I459" s="19"/>
      <c r="J459" s="19"/>
      <c r="K459" s="19"/>
      <c r="L459" s="19"/>
      <c r="M459" s="19"/>
      <c r="N459" s="19"/>
      <c r="O459" s="19">
        <v>9.6</v>
      </c>
      <c r="P459" s="19">
        <v>9.8000000000000007</v>
      </c>
      <c r="Q459" s="19">
        <v>9.6</v>
      </c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47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55">
        <v>0</v>
      </c>
      <c r="DQ459" s="23">
        <v>0</v>
      </c>
      <c r="DR459" s="24">
        <f>PRODUCT(Таблица1[[#This Row],[Столбец4]:[РЕГ НТЛ]])</f>
        <v>0</v>
      </c>
    </row>
    <row r="460" spans="1:122" x14ac:dyDescent="0.25">
      <c r="A460" s="10">
        <v>2</v>
      </c>
      <c r="B460" s="2" t="s">
        <v>329</v>
      </c>
      <c r="C460" s="2" t="s">
        <v>30</v>
      </c>
      <c r="D460" s="2" t="s">
        <v>12</v>
      </c>
      <c r="E460" s="2"/>
      <c r="F460" s="2">
        <v>4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56">
        <v>0</v>
      </c>
      <c r="DQ460" s="23">
        <v>0</v>
      </c>
      <c r="DR460" s="23">
        <f>PRODUCT(Таблица1[[#This Row],[Столбец4]:[РЕГ НТЛ]])</f>
        <v>0</v>
      </c>
    </row>
    <row r="461" spans="1:122" x14ac:dyDescent="0.25">
      <c r="A461" s="10">
        <v>2</v>
      </c>
      <c r="B461" s="2" t="s">
        <v>329</v>
      </c>
      <c r="C461" s="2" t="s">
        <v>30</v>
      </c>
      <c r="D461" s="2" t="s">
        <v>12</v>
      </c>
      <c r="E461" s="2"/>
      <c r="F461" s="2"/>
      <c r="G461" s="2">
        <v>4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55">
        <v>0</v>
      </c>
      <c r="DQ461" s="23">
        <v>0</v>
      </c>
      <c r="DR461" s="23">
        <f>PRODUCT(Таблица1[[#This Row],[Столбец4]:[РЕГ НТЛ]])</f>
        <v>0</v>
      </c>
    </row>
    <row r="462" spans="1:122" x14ac:dyDescent="0.25">
      <c r="A462" s="35">
        <v>116</v>
      </c>
      <c r="B462" s="36" t="s">
        <v>239</v>
      </c>
      <c r="C462" s="36" t="s">
        <v>23</v>
      </c>
      <c r="D462" s="36" t="s">
        <v>53</v>
      </c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>
        <v>6</v>
      </c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  <c r="CQ462" s="36"/>
      <c r="CR462" s="36"/>
      <c r="CS462" s="36"/>
      <c r="CT462" s="36"/>
      <c r="CU462" s="36"/>
      <c r="CV462" s="36"/>
      <c r="CW462" s="36"/>
      <c r="CX462" s="36"/>
      <c r="CY462" s="36"/>
      <c r="CZ462" s="36"/>
      <c r="DA462" s="36"/>
      <c r="DB462" s="36"/>
      <c r="DC462" s="36"/>
      <c r="DD462" s="36"/>
      <c r="DE462" s="36"/>
      <c r="DF462" s="36"/>
      <c r="DG462" s="36"/>
      <c r="DH462" s="36"/>
      <c r="DI462" s="36"/>
      <c r="DJ462" s="36"/>
      <c r="DK462" s="36"/>
      <c r="DL462" s="36"/>
      <c r="DM462" s="36"/>
      <c r="DN462" s="36"/>
      <c r="DO462" s="36"/>
      <c r="DP462" s="56">
        <v>0</v>
      </c>
      <c r="DQ462" s="61">
        <v>0.5</v>
      </c>
      <c r="DR462" s="37">
        <f>PRODUCT(Таблица1[[#This Row],[Столбец4]:[РЕГ НТЛ]])</f>
        <v>0</v>
      </c>
    </row>
    <row r="463" spans="1:122" x14ac:dyDescent="0.25">
      <c r="A463" s="38">
        <v>116</v>
      </c>
      <c r="B463" s="39" t="s">
        <v>239</v>
      </c>
      <c r="C463" s="36" t="s">
        <v>23</v>
      </c>
      <c r="D463" s="39" t="s">
        <v>53</v>
      </c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>
        <v>4</v>
      </c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  <c r="DH463" s="39"/>
      <c r="DI463" s="39"/>
      <c r="DJ463" s="39"/>
      <c r="DK463" s="39"/>
      <c r="DL463" s="39"/>
      <c r="DM463" s="39"/>
      <c r="DN463" s="39"/>
      <c r="DO463" s="39"/>
      <c r="DP463" s="55">
        <v>0</v>
      </c>
      <c r="DQ463" s="61">
        <v>0.5</v>
      </c>
      <c r="DR463" s="40">
        <f>PRODUCT(Таблица1[[#This Row],[Столбец4]:[РЕГ НТЛ]])</f>
        <v>0</v>
      </c>
    </row>
    <row r="464" spans="1:122" x14ac:dyDescent="0.25">
      <c r="A464" s="35">
        <v>88</v>
      </c>
      <c r="B464" s="36" t="s">
        <v>330</v>
      </c>
      <c r="C464" s="36" t="s">
        <v>28</v>
      </c>
      <c r="D464" s="36" t="s">
        <v>29</v>
      </c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67">
        <v>8.8000000000000007</v>
      </c>
      <c r="CK464" s="67">
        <v>8.4</v>
      </c>
      <c r="CL464" s="67">
        <v>8.8000000000000007</v>
      </c>
      <c r="CM464" s="67">
        <v>8.8000000000000007</v>
      </c>
      <c r="CN464" s="36"/>
      <c r="CO464" s="36"/>
      <c r="CP464" s="36"/>
      <c r="CQ464" s="36"/>
      <c r="CR464" s="36"/>
      <c r="CS464" s="36"/>
      <c r="CT464" s="36"/>
      <c r="CU464" s="36"/>
      <c r="CV464" s="36"/>
      <c r="CW464" s="36"/>
      <c r="CX464" s="36"/>
      <c r="CY464" s="36"/>
      <c r="CZ464" s="36"/>
      <c r="DA464" s="36"/>
      <c r="DB464" s="36"/>
      <c r="DC464" s="36"/>
      <c r="DD464" s="36"/>
      <c r="DE464" s="36"/>
      <c r="DF464" s="36"/>
      <c r="DG464" s="36"/>
      <c r="DH464" s="36"/>
      <c r="DI464" s="36"/>
      <c r="DJ464" s="36"/>
      <c r="DK464" s="36"/>
      <c r="DL464" s="36"/>
      <c r="DM464" s="36"/>
      <c r="DN464" s="36"/>
      <c r="DO464" s="36"/>
      <c r="DP464" s="55">
        <v>0</v>
      </c>
      <c r="DQ464" s="37">
        <v>1</v>
      </c>
      <c r="DR464" s="37">
        <f>PRODUCT(Таблица1[[#This Row],[Столбец4]:[РЕГ НТЛ]])</f>
        <v>0</v>
      </c>
    </row>
    <row r="465" spans="1:122" x14ac:dyDescent="0.25">
      <c r="A465" s="35">
        <v>74</v>
      </c>
      <c r="B465" s="36" t="s">
        <v>240</v>
      </c>
      <c r="C465" s="36" t="s">
        <v>28</v>
      </c>
      <c r="D465" s="36" t="s">
        <v>11</v>
      </c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>
        <v>1</v>
      </c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/>
      <c r="DK465" s="36"/>
      <c r="DL465" s="36"/>
      <c r="DM465" s="36"/>
      <c r="DN465" s="36"/>
      <c r="DO465" s="36"/>
      <c r="DP465" s="56">
        <v>12</v>
      </c>
      <c r="DQ465" s="37">
        <v>1</v>
      </c>
      <c r="DR465" s="37">
        <f>PRODUCT(Таблица1[[#This Row],[Столбец4]:[РЕГ НТЛ]])</f>
        <v>12</v>
      </c>
    </row>
    <row r="466" spans="1:122" x14ac:dyDescent="0.25">
      <c r="A466" s="10">
        <v>44</v>
      </c>
      <c r="B466" s="2" t="s">
        <v>217</v>
      </c>
      <c r="C466" s="2" t="s">
        <v>28</v>
      </c>
      <c r="D466" s="2" t="s">
        <v>29</v>
      </c>
      <c r="E466" s="8"/>
      <c r="F466" s="2"/>
      <c r="G466" s="2"/>
      <c r="H466" s="2"/>
      <c r="I466" s="2"/>
      <c r="J466" s="2"/>
      <c r="K466" s="2"/>
      <c r="L466" s="2">
        <v>7.8</v>
      </c>
      <c r="M466" s="2">
        <v>8</v>
      </c>
      <c r="N466" s="2">
        <v>8.4</v>
      </c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56">
        <v>0</v>
      </c>
      <c r="DQ466" s="23">
        <v>1</v>
      </c>
      <c r="DR466" s="23">
        <f>PRODUCT(Таблица1[[#This Row],[Столбец4]:[РЕГ НТЛ]])</f>
        <v>0</v>
      </c>
    </row>
    <row r="467" spans="1:122" x14ac:dyDescent="0.25">
      <c r="A467" s="38">
        <v>281</v>
      </c>
      <c r="B467" s="39" t="s">
        <v>331</v>
      </c>
      <c r="C467" s="36" t="s">
        <v>23</v>
      </c>
      <c r="D467" s="39" t="s">
        <v>33</v>
      </c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>
        <v>8.1999999999999993</v>
      </c>
      <c r="AS467" s="39">
        <v>8.1999999999999993</v>
      </c>
      <c r="AT467" s="39">
        <v>8</v>
      </c>
      <c r="AU467" s="39">
        <v>8</v>
      </c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  <c r="DH467" s="39"/>
      <c r="DI467" s="39"/>
      <c r="DJ467" s="39"/>
      <c r="DK467" s="39"/>
      <c r="DL467" s="39"/>
      <c r="DM467" s="39"/>
      <c r="DN467" s="39"/>
      <c r="DO467" s="39"/>
      <c r="DP467" s="58">
        <v>0</v>
      </c>
      <c r="DQ467" s="37">
        <v>1</v>
      </c>
      <c r="DR467" s="40">
        <f>PRODUCT(Таблица1[[#This Row],[Столбец4]:[РЕГ НТЛ]])</f>
        <v>0</v>
      </c>
    </row>
    <row r="468" spans="1:122" x14ac:dyDescent="0.25">
      <c r="A468" s="44">
        <v>1</v>
      </c>
      <c r="B468" s="19" t="s">
        <v>332</v>
      </c>
      <c r="C468" s="2" t="s">
        <v>127</v>
      </c>
      <c r="D468" s="19" t="s">
        <v>128</v>
      </c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>
        <v>8.1999999999999993</v>
      </c>
      <c r="P468" s="19">
        <v>8.1999999999999993</v>
      </c>
      <c r="Q468" s="19">
        <v>8.1999999999999993</v>
      </c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48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58">
        <v>0</v>
      </c>
      <c r="DQ468" s="23">
        <v>0</v>
      </c>
      <c r="DR468" s="24">
        <f>PRODUCT(Таблица1[[#This Row],[Столбец4]:[РЕГ НТЛ]])</f>
        <v>0</v>
      </c>
    </row>
    <row r="469" spans="1:122" x14ac:dyDescent="0.25">
      <c r="A469" s="10">
        <v>28</v>
      </c>
      <c r="B469" s="2" t="s">
        <v>333</v>
      </c>
      <c r="C469" s="2" t="s">
        <v>23</v>
      </c>
      <c r="D469" s="2" t="s">
        <v>27</v>
      </c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>
        <v>8.1999999999999993</v>
      </c>
      <c r="P469" s="2">
        <v>8.4</v>
      </c>
      <c r="Q469" s="2">
        <v>8.4</v>
      </c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55">
        <v>0</v>
      </c>
      <c r="DQ469" s="23">
        <v>1</v>
      </c>
      <c r="DR469" s="23">
        <f>PRODUCT(Таблица1[[#This Row],[Столбец4]:[РЕГ НТЛ]])</f>
        <v>0</v>
      </c>
    </row>
    <row r="470" spans="1:122" x14ac:dyDescent="0.25">
      <c r="A470" s="35">
        <v>282</v>
      </c>
      <c r="B470" s="36" t="s">
        <v>334</v>
      </c>
      <c r="C470" s="36" t="s">
        <v>28</v>
      </c>
      <c r="D470" s="36" t="s">
        <v>11</v>
      </c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>
        <v>1</v>
      </c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56">
        <v>6</v>
      </c>
      <c r="DQ470" s="37">
        <v>1</v>
      </c>
      <c r="DR470" s="37">
        <f>PRODUCT(Таблица1[[#This Row],[Столбец4]:[РЕГ НТЛ]])</f>
        <v>6</v>
      </c>
    </row>
    <row r="471" spans="1:122" x14ac:dyDescent="0.25">
      <c r="A471" s="35">
        <v>282</v>
      </c>
      <c r="B471" s="36" t="s">
        <v>334</v>
      </c>
      <c r="C471" s="36" t="s">
        <v>28</v>
      </c>
      <c r="D471" s="36" t="s">
        <v>11</v>
      </c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>
        <v>3</v>
      </c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  <c r="CR471" s="36"/>
      <c r="CS471" s="36"/>
      <c r="CT471" s="36"/>
      <c r="CU471" s="36"/>
      <c r="CV471" s="36"/>
      <c r="CW471" s="36"/>
      <c r="CX471" s="36"/>
      <c r="CY471" s="36"/>
      <c r="CZ471" s="36"/>
      <c r="DA471" s="36"/>
      <c r="DB471" s="36"/>
      <c r="DC471" s="36"/>
      <c r="DD471" s="36"/>
      <c r="DE471" s="36"/>
      <c r="DF471" s="36"/>
      <c r="DG471" s="36"/>
      <c r="DH471" s="36"/>
      <c r="DI471" s="36"/>
      <c r="DJ471" s="36"/>
      <c r="DK471" s="36"/>
      <c r="DL471" s="36"/>
      <c r="DM471" s="36"/>
      <c r="DN471" s="36"/>
      <c r="DO471" s="36"/>
      <c r="DP471" s="56">
        <v>8</v>
      </c>
      <c r="DQ471" s="37">
        <v>1</v>
      </c>
      <c r="DR471" s="37">
        <f>PRODUCT(Таблица1[[#This Row],[Столбец4]:[РЕГ НТЛ]])</f>
        <v>8</v>
      </c>
    </row>
    <row r="472" spans="1:122" x14ac:dyDescent="0.25">
      <c r="A472" s="35">
        <v>282</v>
      </c>
      <c r="B472" s="36" t="s">
        <v>334</v>
      </c>
      <c r="C472" s="36" t="s">
        <v>28</v>
      </c>
      <c r="D472" s="36" t="s">
        <v>11</v>
      </c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>
        <v>2</v>
      </c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6"/>
      <c r="CV472" s="36"/>
      <c r="CW472" s="36"/>
      <c r="CX472" s="36"/>
      <c r="CY472" s="36"/>
      <c r="CZ472" s="36"/>
      <c r="DA472" s="36"/>
      <c r="DB472" s="36"/>
      <c r="DC472" s="36"/>
      <c r="DD472" s="36"/>
      <c r="DE472" s="36"/>
      <c r="DF472" s="36"/>
      <c r="DG472" s="36"/>
      <c r="DH472" s="36"/>
      <c r="DI472" s="36"/>
      <c r="DJ472" s="36"/>
      <c r="DK472" s="36"/>
      <c r="DL472" s="36"/>
      <c r="DM472" s="36"/>
      <c r="DN472" s="36"/>
      <c r="DO472" s="36"/>
      <c r="DP472" s="55">
        <v>0</v>
      </c>
      <c r="DQ472" s="37">
        <v>1</v>
      </c>
      <c r="DR472" s="37">
        <f>PRODUCT(Таблица1[[#This Row],[Столбец4]:[РЕГ НТЛ]])</f>
        <v>0</v>
      </c>
    </row>
    <row r="473" spans="1:122" x14ac:dyDescent="0.25">
      <c r="A473" s="10">
        <v>34</v>
      </c>
      <c r="B473" s="2" t="s">
        <v>335</v>
      </c>
      <c r="C473" s="2" t="s">
        <v>23</v>
      </c>
      <c r="D473" s="2" t="s">
        <v>27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>
        <v>8.4</v>
      </c>
      <c r="P473" s="2">
        <v>8.1999999999999993</v>
      </c>
      <c r="Q473" s="2">
        <v>8.6</v>
      </c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56">
        <v>0</v>
      </c>
      <c r="DQ473" s="23">
        <v>1</v>
      </c>
      <c r="DR473" s="23">
        <f>PRODUCT(Таблица1[[#This Row],[Столбец4]:[РЕГ НТЛ]])</f>
        <v>0</v>
      </c>
    </row>
    <row r="474" spans="1:122" x14ac:dyDescent="0.25">
      <c r="A474" s="10">
        <v>34</v>
      </c>
      <c r="B474" s="2" t="s">
        <v>216</v>
      </c>
      <c r="C474" s="2" t="s">
        <v>23</v>
      </c>
      <c r="D474" s="2" t="s">
        <v>27</v>
      </c>
      <c r="E474" s="2"/>
      <c r="F474" s="2"/>
      <c r="G474" s="2"/>
      <c r="H474" s="2"/>
      <c r="I474" s="2"/>
      <c r="J474" s="2"/>
      <c r="K474" s="2"/>
      <c r="L474" s="2">
        <v>8.4</v>
      </c>
      <c r="M474" s="2">
        <v>8</v>
      </c>
      <c r="N474" s="2">
        <v>8.4</v>
      </c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56">
        <v>0</v>
      </c>
      <c r="DQ474" s="23">
        <v>1</v>
      </c>
      <c r="DR474" s="23">
        <f>PRODUCT(Таблица1[[#This Row],[Столбец4]:[РЕГ НТЛ]])</f>
        <v>0</v>
      </c>
    </row>
    <row r="475" spans="1:122" x14ac:dyDescent="0.25">
      <c r="A475" s="35">
        <v>34</v>
      </c>
      <c r="B475" s="36" t="s">
        <v>216</v>
      </c>
      <c r="C475" s="36" t="s">
        <v>23</v>
      </c>
      <c r="D475" s="36" t="s">
        <v>134</v>
      </c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>
        <v>2</v>
      </c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  <c r="CV475" s="36"/>
      <c r="CW475" s="36"/>
      <c r="CX475" s="36"/>
      <c r="CY475" s="36"/>
      <c r="CZ475" s="36"/>
      <c r="DA475" s="36"/>
      <c r="DB475" s="36"/>
      <c r="DC475" s="36"/>
      <c r="DD475" s="36"/>
      <c r="DE475" s="36"/>
      <c r="DF475" s="36"/>
      <c r="DG475" s="36"/>
      <c r="DH475" s="36"/>
      <c r="DI475" s="36"/>
      <c r="DJ475" s="36"/>
      <c r="DK475" s="36"/>
      <c r="DL475" s="36"/>
      <c r="DM475" s="36"/>
      <c r="DN475" s="36"/>
      <c r="DO475" s="36"/>
      <c r="DP475" s="55">
        <v>8</v>
      </c>
      <c r="DQ475" s="37">
        <v>1</v>
      </c>
      <c r="DR475" s="37">
        <f>PRODUCT(Таблица1[[#This Row],[Столбец4]:[РЕГ НТЛ]])</f>
        <v>8</v>
      </c>
    </row>
    <row r="476" spans="1:122" x14ac:dyDescent="0.25">
      <c r="A476" s="35">
        <v>55</v>
      </c>
      <c r="B476" s="36" t="s">
        <v>336</v>
      </c>
      <c r="C476" s="36" t="s">
        <v>23</v>
      </c>
      <c r="D476" s="36" t="s">
        <v>154</v>
      </c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>
        <v>9.1999999999999993</v>
      </c>
      <c r="AM476" s="36">
        <v>9.6</v>
      </c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  <c r="CR476" s="36"/>
      <c r="CS476" s="36"/>
      <c r="CT476" s="36"/>
      <c r="CU476" s="36"/>
      <c r="CV476" s="36"/>
      <c r="CW476" s="36"/>
      <c r="CX476" s="36"/>
      <c r="CY476" s="36"/>
      <c r="CZ476" s="36"/>
      <c r="DA476" s="36"/>
      <c r="DB476" s="36"/>
      <c r="DC476" s="36"/>
      <c r="DD476" s="36"/>
      <c r="DE476" s="36"/>
      <c r="DF476" s="36"/>
      <c r="DG476" s="36"/>
      <c r="DH476" s="36"/>
      <c r="DI476" s="36"/>
      <c r="DJ476" s="36"/>
      <c r="DK476" s="36"/>
      <c r="DL476" s="36"/>
      <c r="DM476" s="36"/>
      <c r="DN476" s="36"/>
      <c r="DO476" s="36"/>
      <c r="DP476" s="55">
        <v>0</v>
      </c>
      <c r="DQ476" s="37">
        <v>1</v>
      </c>
      <c r="DR476" s="37">
        <f>PRODUCT(Таблица1[[#This Row],[Столбец4]:[РЕГ НТЛ]])</f>
        <v>0</v>
      </c>
    </row>
    <row r="477" spans="1:122" x14ac:dyDescent="0.25">
      <c r="A477" s="38">
        <v>55</v>
      </c>
      <c r="B477" s="36" t="s">
        <v>336</v>
      </c>
      <c r="C477" s="39" t="s">
        <v>23</v>
      </c>
      <c r="D477" s="39" t="s">
        <v>150</v>
      </c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>
        <v>1</v>
      </c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  <c r="DB477" s="39"/>
      <c r="DC477" s="39"/>
      <c r="DD477" s="39"/>
      <c r="DE477" s="39"/>
      <c r="DF477" s="39"/>
      <c r="DG477" s="39"/>
      <c r="DH477" s="39"/>
      <c r="DI477" s="39"/>
      <c r="DJ477" s="39"/>
      <c r="DK477" s="39"/>
      <c r="DL477" s="39"/>
      <c r="DM477" s="39"/>
      <c r="DN477" s="39"/>
      <c r="DO477" s="39"/>
      <c r="DP477" s="55">
        <v>0</v>
      </c>
      <c r="DQ477" s="37">
        <v>1</v>
      </c>
      <c r="DR477" s="40">
        <f>PRODUCT(Таблица1[[#This Row],[Столбец4]:[РЕГ НТЛ]])</f>
        <v>0</v>
      </c>
    </row>
    <row r="478" spans="1:122" x14ac:dyDescent="0.25">
      <c r="A478" s="35">
        <v>55</v>
      </c>
      <c r="B478" s="36" t="s">
        <v>336</v>
      </c>
      <c r="C478" s="36" t="s">
        <v>23</v>
      </c>
      <c r="D478" s="36" t="s">
        <v>150</v>
      </c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>
        <v>4</v>
      </c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55">
        <v>0</v>
      </c>
      <c r="DQ478" s="37">
        <v>1</v>
      </c>
      <c r="DR478" s="37">
        <f>PRODUCT(Таблица1[[#This Row],[Столбец4]:[РЕГ НТЛ]])</f>
        <v>0</v>
      </c>
    </row>
    <row r="479" spans="1:122" x14ac:dyDescent="0.25">
      <c r="A479" s="10">
        <v>24</v>
      </c>
      <c r="B479" s="2" t="s">
        <v>337</v>
      </c>
      <c r="C479" s="2" t="s">
        <v>127</v>
      </c>
      <c r="D479" s="2" t="s">
        <v>129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>
        <v>7.8</v>
      </c>
      <c r="P479" s="2">
        <v>7.8</v>
      </c>
      <c r="Q479" s="2">
        <v>8.1999999999999993</v>
      </c>
      <c r="R479" s="2"/>
      <c r="S479" s="2"/>
      <c r="T479" s="2"/>
      <c r="U479" s="2"/>
      <c r="V479" s="2"/>
      <c r="W479" s="1"/>
      <c r="X479" s="1"/>
      <c r="Y479" s="1"/>
      <c r="Z479" s="1"/>
      <c r="AA479" s="2"/>
      <c r="AB479" s="11"/>
      <c r="AC479" s="12"/>
      <c r="AD479" s="12"/>
      <c r="AE479" s="1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55">
        <v>0</v>
      </c>
      <c r="DQ479" s="23">
        <v>0</v>
      </c>
      <c r="DR479" s="23">
        <f>PRODUCT(Таблица1[[#This Row],[Столбец4]:[РЕГ НТЛ]])</f>
        <v>0</v>
      </c>
    </row>
    <row r="480" spans="1:122" x14ac:dyDescent="0.25">
      <c r="A480" s="38">
        <v>62</v>
      </c>
      <c r="B480" s="36" t="s">
        <v>338</v>
      </c>
      <c r="C480" s="39" t="s">
        <v>28</v>
      </c>
      <c r="D480" s="39" t="s">
        <v>29</v>
      </c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>
        <v>9</v>
      </c>
      <c r="AZ480" s="39">
        <v>9.1999999999999993</v>
      </c>
      <c r="BA480" s="39">
        <v>9.6</v>
      </c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55">
        <v>0</v>
      </c>
      <c r="DQ480" s="37">
        <v>0</v>
      </c>
      <c r="DR480" s="40">
        <f>PRODUCT(Таблица1[[#This Row],[Столбец4]:[РЕГ НТЛ]])</f>
        <v>0</v>
      </c>
    </row>
    <row r="481" spans="1:122" x14ac:dyDescent="0.25">
      <c r="A481" s="35">
        <v>102</v>
      </c>
      <c r="B481" s="36" t="s">
        <v>339</v>
      </c>
      <c r="C481" s="42" t="s">
        <v>28</v>
      </c>
      <c r="D481" s="36" t="s">
        <v>11</v>
      </c>
      <c r="E481" s="36"/>
      <c r="F481" s="36" t="s">
        <v>109</v>
      </c>
      <c r="G481" s="36" t="s">
        <v>11</v>
      </c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>
        <v>1</v>
      </c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36"/>
      <c r="CT481" s="36"/>
      <c r="CU481" s="36"/>
      <c r="CV481" s="36"/>
      <c r="CW481" s="36"/>
      <c r="CX481" s="36"/>
      <c r="CY481" s="36"/>
      <c r="CZ481" s="36"/>
      <c r="DA481" s="36"/>
      <c r="DB481" s="36"/>
      <c r="DC481" s="36"/>
      <c r="DD481" s="36"/>
      <c r="DE481" s="36"/>
      <c r="DF481" s="36"/>
      <c r="DG481" s="36"/>
      <c r="DH481" s="36"/>
      <c r="DI481" s="36"/>
      <c r="DJ481" s="36"/>
      <c r="DK481" s="36"/>
      <c r="DL481" s="36"/>
      <c r="DM481" s="36"/>
      <c r="DN481" s="36"/>
      <c r="DO481" s="36"/>
      <c r="DP481" s="55">
        <v>0</v>
      </c>
      <c r="DQ481" s="37">
        <v>1</v>
      </c>
      <c r="DR481" s="37">
        <f>PRODUCT(Таблица1[[#This Row],[Столбец4]:[РЕГ НТЛ]])</f>
        <v>0</v>
      </c>
    </row>
    <row r="482" spans="1:122" x14ac:dyDescent="0.25">
      <c r="A482" s="35">
        <v>102</v>
      </c>
      <c r="B482" s="36" t="s">
        <v>241</v>
      </c>
      <c r="C482" s="36" t="s">
        <v>28</v>
      </c>
      <c r="D482" s="36" t="s">
        <v>11</v>
      </c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>
        <v>3</v>
      </c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  <c r="DO482" s="36"/>
      <c r="DP482" s="55">
        <v>0</v>
      </c>
      <c r="DQ482" s="37">
        <v>1</v>
      </c>
      <c r="DR482" s="37">
        <f>PRODUCT(Таблица1[[#This Row],[Столбец4]:[РЕГ НТЛ]])</f>
        <v>0</v>
      </c>
    </row>
    <row r="483" spans="1:122" x14ac:dyDescent="0.25">
      <c r="A483" s="35">
        <v>102</v>
      </c>
      <c r="B483" s="36" t="s">
        <v>241</v>
      </c>
      <c r="C483" s="36" t="s">
        <v>28</v>
      </c>
      <c r="D483" s="36" t="s">
        <v>11</v>
      </c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>
        <v>5</v>
      </c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36"/>
      <c r="CT483" s="36"/>
      <c r="CU483" s="36"/>
      <c r="CV483" s="36"/>
      <c r="CW483" s="36"/>
      <c r="CX483" s="36"/>
      <c r="CY483" s="36"/>
      <c r="CZ483" s="36"/>
      <c r="DA483" s="36"/>
      <c r="DB483" s="36"/>
      <c r="DC483" s="36"/>
      <c r="DD483" s="36"/>
      <c r="DE483" s="36"/>
      <c r="DF483" s="36"/>
      <c r="DG483" s="36"/>
      <c r="DH483" s="36"/>
      <c r="DI483" s="36"/>
      <c r="DJ483" s="36"/>
      <c r="DK483" s="36"/>
      <c r="DL483" s="36"/>
      <c r="DM483" s="36"/>
      <c r="DN483" s="36"/>
      <c r="DO483" s="36"/>
      <c r="DP483" s="55">
        <v>0</v>
      </c>
      <c r="DQ483" s="37">
        <v>1</v>
      </c>
      <c r="DR483" s="37">
        <f>PRODUCT(Таблица1[[#This Row],[Столбец4]:[РЕГ НТЛ]])</f>
        <v>0</v>
      </c>
    </row>
    <row r="484" spans="1:122" x14ac:dyDescent="0.25">
      <c r="A484" s="35">
        <v>102</v>
      </c>
      <c r="B484" s="36" t="s">
        <v>241</v>
      </c>
      <c r="C484" s="36" t="s">
        <v>28</v>
      </c>
      <c r="D484" s="36" t="s">
        <v>11</v>
      </c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>
        <v>4</v>
      </c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  <c r="DO484" s="36"/>
      <c r="DP484" s="55">
        <v>0</v>
      </c>
      <c r="DQ484" s="37">
        <v>1</v>
      </c>
      <c r="DR484" s="37">
        <f>PRODUCT(Таблица1[[#This Row],[Столбец4]:[РЕГ НТЛ]])</f>
        <v>0</v>
      </c>
    </row>
    <row r="485" spans="1:122" x14ac:dyDescent="0.25">
      <c r="A485" s="44">
        <v>35</v>
      </c>
      <c r="B485" s="19" t="s">
        <v>341</v>
      </c>
      <c r="C485" s="19" t="s">
        <v>28</v>
      </c>
      <c r="D485" s="19" t="s">
        <v>11</v>
      </c>
      <c r="E485" s="19"/>
      <c r="F485" s="19"/>
      <c r="G485" s="19">
        <v>3</v>
      </c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55">
        <v>0</v>
      </c>
      <c r="DQ485" s="23">
        <v>1</v>
      </c>
      <c r="DR485" s="24">
        <f>PRODUCT(Таблица1[[#This Row],[Столбец4]:[РЕГ НТЛ]])</f>
        <v>0</v>
      </c>
    </row>
    <row r="486" spans="1:122" x14ac:dyDescent="0.25">
      <c r="A486" s="35">
        <v>118</v>
      </c>
      <c r="B486" s="39" t="s">
        <v>342</v>
      </c>
      <c r="C486" s="39" t="s">
        <v>28</v>
      </c>
      <c r="D486" s="36" t="s">
        <v>11</v>
      </c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>
        <v>4</v>
      </c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55">
        <v>4</v>
      </c>
      <c r="DQ486" s="37">
        <v>1</v>
      </c>
      <c r="DR486" s="37">
        <f>PRODUCT(Таблица1[[#This Row],[Столбец4]:[РЕГ НТЛ]])</f>
        <v>4</v>
      </c>
    </row>
    <row r="487" spans="1:122" x14ac:dyDescent="0.25">
      <c r="A487" s="44">
        <v>29</v>
      </c>
      <c r="B487" s="19" t="s">
        <v>343</v>
      </c>
      <c r="C487" s="19" t="s">
        <v>28</v>
      </c>
      <c r="D487" s="19" t="s">
        <v>29</v>
      </c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>
        <v>8.6</v>
      </c>
      <c r="P487" s="19">
        <v>8.8000000000000007</v>
      </c>
      <c r="Q487" s="19">
        <v>9.4</v>
      </c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55">
        <v>0</v>
      </c>
      <c r="DQ487" s="23">
        <v>1</v>
      </c>
      <c r="DR487" s="24">
        <f>PRODUCT(Таблица1[[#This Row],[Столбец4]:[РЕГ НТЛ]])</f>
        <v>0</v>
      </c>
    </row>
    <row r="488" spans="1:122" x14ac:dyDescent="0.25">
      <c r="A488" s="10">
        <v>19</v>
      </c>
      <c r="B488" s="2" t="s">
        <v>344</v>
      </c>
      <c r="C488" s="19" t="s">
        <v>30</v>
      </c>
      <c r="D488" s="2" t="s">
        <v>31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>
        <v>8.4</v>
      </c>
      <c r="P488" s="2">
        <v>8.8000000000000007</v>
      </c>
      <c r="Q488" s="2">
        <v>8.6</v>
      </c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55">
        <v>0</v>
      </c>
      <c r="DQ488" s="23">
        <v>1</v>
      </c>
      <c r="DR488" s="23">
        <f>PRODUCT(Таблица1[[#This Row],[Столбец4]:[РЕГ НТЛ]])</f>
        <v>0</v>
      </c>
    </row>
    <row r="489" spans="1:122" x14ac:dyDescent="0.25">
      <c r="A489" s="38">
        <v>81</v>
      </c>
      <c r="B489" s="39" t="s">
        <v>345</v>
      </c>
      <c r="C489" s="39" t="s">
        <v>23</v>
      </c>
      <c r="D489" s="39" t="s">
        <v>39</v>
      </c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>
        <v>9</v>
      </c>
      <c r="AM489" s="39">
        <v>9.6</v>
      </c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  <c r="DH489" s="39"/>
      <c r="DI489" s="39"/>
      <c r="DJ489" s="39"/>
      <c r="DK489" s="39"/>
      <c r="DL489" s="39"/>
      <c r="DM489" s="39"/>
      <c r="DN489" s="39"/>
      <c r="DO489" s="39"/>
      <c r="DP489" s="58">
        <v>0</v>
      </c>
      <c r="DQ489" s="37">
        <v>1</v>
      </c>
      <c r="DR489" s="40">
        <f>PRODUCT(Таблица1[[#This Row],[Столбец4]:[РЕГ НТЛ]])</f>
        <v>0</v>
      </c>
    </row>
    <row r="490" spans="1:122" x14ac:dyDescent="0.25">
      <c r="A490" s="35">
        <v>103</v>
      </c>
      <c r="B490" s="36" t="s">
        <v>346</v>
      </c>
      <c r="C490" s="39" t="s">
        <v>28</v>
      </c>
      <c r="D490" s="36" t="s">
        <v>11</v>
      </c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>
        <v>4</v>
      </c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6"/>
      <c r="CT490" s="36"/>
      <c r="CU490" s="36"/>
      <c r="CV490" s="36"/>
      <c r="CW490" s="36"/>
      <c r="CX490" s="36"/>
      <c r="CY490" s="36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36"/>
      <c r="DM490" s="36"/>
      <c r="DN490" s="36"/>
      <c r="DO490" s="36"/>
      <c r="DP490" s="56">
        <v>0</v>
      </c>
      <c r="DQ490" s="37">
        <v>1</v>
      </c>
      <c r="DR490" s="37">
        <f>PRODUCT(Таблица1[[#This Row],[Столбец4]:[РЕГ НТЛ]])</f>
        <v>0</v>
      </c>
    </row>
    <row r="491" spans="1:122" x14ac:dyDescent="0.25">
      <c r="A491" s="38">
        <v>103</v>
      </c>
      <c r="B491" s="39" t="s">
        <v>243</v>
      </c>
      <c r="C491" s="39" t="s">
        <v>28</v>
      </c>
      <c r="D491" s="39" t="s">
        <v>11</v>
      </c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>
        <v>2</v>
      </c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58">
        <v>0</v>
      </c>
      <c r="DQ491" s="37">
        <v>1</v>
      </c>
      <c r="DR491" s="40">
        <f>PRODUCT(Таблица1[[#This Row],[Столбец4]:[РЕГ НТЛ]])</f>
        <v>0</v>
      </c>
    </row>
    <row r="492" spans="1:122" x14ac:dyDescent="0.25">
      <c r="A492" s="38">
        <v>103</v>
      </c>
      <c r="B492" s="39" t="s">
        <v>243</v>
      </c>
      <c r="C492" s="39" t="s">
        <v>28</v>
      </c>
      <c r="D492" s="39" t="s">
        <v>11</v>
      </c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>
        <v>2</v>
      </c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55">
        <v>0</v>
      </c>
      <c r="DQ492" s="37">
        <v>1</v>
      </c>
      <c r="DR492" s="40">
        <f>PRODUCT(Таблица1[[#This Row],[Столбец4]:[РЕГ НТЛ]])</f>
        <v>0</v>
      </c>
    </row>
    <row r="493" spans="1:122" x14ac:dyDescent="0.25">
      <c r="A493" s="38">
        <v>103</v>
      </c>
      <c r="B493" s="39" t="s">
        <v>243</v>
      </c>
      <c r="C493" s="39" t="s">
        <v>28</v>
      </c>
      <c r="D493" s="39" t="s">
        <v>11</v>
      </c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>
        <v>1</v>
      </c>
      <c r="DH493" s="39"/>
      <c r="DI493" s="39"/>
      <c r="DJ493" s="39"/>
      <c r="DK493" s="39"/>
      <c r="DL493" s="39"/>
      <c r="DM493" s="39"/>
      <c r="DN493" s="39"/>
      <c r="DO493" s="39"/>
      <c r="DP493" s="55">
        <v>0</v>
      </c>
      <c r="DQ493" s="37">
        <v>1</v>
      </c>
      <c r="DR493" s="40">
        <f>PRODUCT(Таблица1[[#This Row],[Столбец4]:[РЕГ НТЛ]])</f>
        <v>0</v>
      </c>
    </row>
    <row r="494" spans="1:122" x14ac:dyDescent="0.25">
      <c r="A494" s="10">
        <v>16</v>
      </c>
      <c r="B494" s="2" t="s">
        <v>348</v>
      </c>
      <c r="C494" s="19" t="s">
        <v>25</v>
      </c>
      <c r="D494" s="2" t="s">
        <v>26</v>
      </c>
      <c r="E494" s="2"/>
      <c r="F494" s="2"/>
      <c r="G494" s="2"/>
      <c r="H494" s="2">
        <v>9.6</v>
      </c>
      <c r="I494" s="2">
        <v>9.6</v>
      </c>
      <c r="J494" s="2">
        <v>9.6</v>
      </c>
      <c r="K494" s="2">
        <v>10</v>
      </c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1"/>
      <c r="X494" s="1"/>
      <c r="Y494" s="1"/>
      <c r="Z494" s="1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13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55">
        <v>0</v>
      </c>
      <c r="DQ494" s="23">
        <v>1</v>
      </c>
      <c r="DR494" s="23">
        <f>PRODUCT(Таблица1[[#This Row],[Столбец4]:[РЕГ НТЛ]])</f>
        <v>0</v>
      </c>
    </row>
    <row r="495" spans="1:122" x14ac:dyDescent="0.25">
      <c r="A495" s="10">
        <v>16</v>
      </c>
      <c r="B495" s="2" t="s">
        <v>348</v>
      </c>
      <c r="C495" s="19" t="s">
        <v>25</v>
      </c>
      <c r="D495" s="2" t="s">
        <v>110</v>
      </c>
      <c r="E495" s="2">
        <v>2</v>
      </c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1"/>
      <c r="X495" s="1"/>
      <c r="Y495" s="1"/>
      <c r="Z495" s="1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13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55">
        <v>0</v>
      </c>
      <c r="DQ495" s="23">
        <v>1</v>
      </c>
      <c r="DR495" s="23">
        <f>PRODUCT(Таблица1[[#This Row],[Столбец4]:[РЕГ НТЛ]])</f>
        <v>0</v>
      </c>
    </row>
    <row r="496" spans="1:122" x14ac:dyDescent="0.25">
      <c r="A496" s="10">
        <v>16</v>
      </c>
      <c r="B496" s="2" t="s">
        <v>348</v>
      </c>
      <c r="C496" s="19" t="s">
        <v>25</v>
      </c>
      <c r="D496" s="2" t="s">
        <v>110</v>
      </c>
      <c r="E496" s="2"/>
      <c r="F496" s="2">
        <v>3</v>
      </c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14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55">
        <v>0</v>
      </c>
      <c r="DQ496" s="23">
        <v>1</v>
      </c>
      <c r="DR496" s="23">
        <f>PRODUCT(Таблица1[[#This Row],[Столбец4]:[РЕГ НТЛ]])</f>
        <v>0</v>
      </c>
    </row>
    <row r="497" spans="1:122" x14ac:dyDescent="0.25">
      <c r="A497" s="10">
        <v>17</v>
      </c>
      <c r="B497" s="2" t="s">
        <v>349</v>
      </c>
      <c r="C497" s="19" t="s">
        <v>25</v>
      </c>
      <c r="D497" s="2" t="s">
        <v>26</v>
      </c>
      <c r="E497" s="8"/>
      <c r="F497" s="2"/>
      <c r="G497" s="2"/>
      <c r="H497" s="2">
        <v>8.8000000000000007</v>
      </c>
      <c r="I497" s="2">
        <v>8.6</v>
      </c>
      <c r="J497" s="2">
        <v>9.1999999999999993</v>
      </c>
      <c r="K497" s="2">
        <v>8.8000000000000007</v>
      </c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55">
        <v>0</v>
      </c>
      <c r="DQ497" s="23">
        <v>1</v>
      </c>
      <c r="DR497" s="23">
        <f>PRODUCT(Таблица1[[#This Row],[Столбец4]:[РЕГ НТЛ]])</f>
        <v>0</v>
      </c>
    </row>
    <row r="498" spans="1:122" x14ac:dyDescent="0.25">
      <c r="A498" s="38">
        <v>286</v>
      </c>
      <c r="B498" s="39" t="s">
        <v>244</v>
      </c>
      <c r="C498" s="19" t="s">
        <v>30</v>
      </c>
      <c r="D498" s="39" t="s">
        <v>12</v>
      </c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>
        <v>2</v>
      </c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55">
        <v>0</v>
      </c>
      <c r="DQ498" s="37">
        <v>1</v>
      </c>
      <c r="DR498" s="40">
        <f>PRODUCT(Таблица1[[#This Row],[Столбец4]:[РЕГ НТЛ]])</f>
        <v>0</v>
      </c>
    </row>
    <row r="499" spans="1:122" x14ac:dyDescent="0.25">
      <c r="A499" s="35">
        <v>286</v>
      </c>
      <c r="B499" s="36" t="s">
        <v>244</v>
      </c>
      <c r="C499" s="19" t="s">
        <v>30</v>
      </c>
      <c r="D499" s="36" t="s">
        <v>12</v>
      </c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>
        <v>2</v>
      </c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36"/>
      <c r="CT499" s="36"/>
      <c r="CU499" s="36"/>
      <c r="CV499" s="36"/>
      <c r="CW499" s="36"/>
      <c r="CX499" s="36"/>
      <c r="CY499" s="36"/>
      <c r="CZ499" s="36"/>
      <c r="DA499" s="36"/>
      <c r="DB499" s="36"/>
      <c r="DC499" s="36"/>
      <c r="DD499" s="36"/>
      <c r="DE499" s="36"/>
      <c r="DF499" s="36"/>
      <c r="DG499" s="36"/>
      <c r="DH499" s="36"/>
      <c r="DI499" s="36"/>
      <c r="DJ499" s="36"/>
      <c r="DK499" s="36"/>
      <c r="DL499" s="36"/>
      <c r="DM499" s="36"/>
      <c r="DN499" s="36"/>
      <c r="DO499" s="36"/>
      <c r="DP499" s="55">
        <v>0</v>
      </c>
      <c r="DQ499" s="37">
        <v>1</v>
      </c>
      <c r="DR499" s="37">
        <f>PRODUCT(Таблица1[[#This Row],[Столбец4]:[РЕГ НТЛ]])</f>
        <v>0</v>
      </c>
    </row>
    <row r="500" spans="1:122" x14ac:dyDescent="0.25">
      <c r="A500" s="38">
        <v>286</v>
      </c>
      <c r="B500" s="39" t="s">
        <v>244</v>
      </c>
      <c r="C500" s="19" t="s">
        <v>30</v>
      </c>
      <c r="D500" s="39" t="s">
        <v>12</v>
      </c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>
        <v>4</v>
      </c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  <c r="DH500" s="39"/>
      <c r="DI500" s="39"/>
      <c r="DJ500" s="39"/>
      <c r="DK500" s="39"/>
      <c r="DL500" s="39"/>
      <c r="DM500" s="39"/>
      <c r="DN500" s="39"/>
      <c r="DO500" s="39"/>
      <c r="DP500" s="55">
        <v>0</v>
      </c>
      <c r="DQ500" s="37">
        <v>1</v>
      </c>
      <c r="DR500" s="40">
        <f>PRODUCT(Таблица1[[#This Row],[Столбец4]:[РЕГ НТЛ]])</f>
        <v>0</v>
      </c>
    </row>
    <row r="501" spans="1:122" x14ac:dyDescent="0.25">
      <c r="A501" s="35">
        <v>286</v>
      </c>
      <c r="B501" s="36" t="s">
        <v>244</v>
      </c>
      <c r="C501" s="19" t="s">
        <v>30</v>
      </c>
      <c r="D501" s="36" t="s">
        <v>12</v>
      </c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>
        <v>3</v>
      </c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  <c r="CQ501" s="36"/>
      <c r="CR501" s="36"/>
      <c r="CS501" s="36"/>
      <c r="CT501" s="36"/>
      <c r="CU501" s="36"/>
      <c r="CV501" s="36"/>
      <c r="CW501" s="36"/>
      <c r="CX501" s="36"/>
      <c r="CY501" s="36"/>
      <c r="CZ501" s="36"/>
      <c r="DA501" s="36"/>
      <c r="DB501" s="36"/>
      <c r="DC501" s="36"/>
      <c r="DD501" s="36"/>
      <c r="DE501" s="36"/>
      <c r="DF501" s="36"/>
      <c r="DG501" s="36"/>
      <c r="DH501" s="36"/>
      <c r="DI501" s="36"/>
      <c r="DJ501" s="36"/>
      <c r="DK501" s="36"/>
      <c r="DL501" s="36"/>
      <c r="DM501" s="36"/>
      <c r="DN501" s="36"/>
      <c r="DO501" s="36"/>
      <c r="DP501" s="55">
        <v>0</v>
      </c>
      <c r="DQ501" s="37">
        <v>1</v>
      </c>
      <c r="DR501" s="37">
        <f>PRODUCT(Таблица1[[#This Row],[Столбец4]:[РЕГ НТЛ]])</f>
        <v>0</v>
      </c>
    </row>
    <row r="502" spans="1:122" x14ac:dyDescent="0.25">
      <c r="A502" s="35">
        <v>286</v>
      </c>
      <c r="B502" s="36" t="s">
        <v>244</v>
      </c>
      <c r="C502" s="19" t="s">
        <v>30</v>
      </c>
      <c r="D502" s="36" t="s">
        <v>12</v>
      </c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>
        <v>5</v>
      </c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  <c r="CV502" s="36"/>
      <c r="CW502" s="36"/>
      <c r="CX502" s="36"/>
      <c r="CY502" s="36"/>
      <c r="CZ502" s="36"/>
      <c r="DA502" s="36"/>
      <c r="DB502" s="36"/>
      <c r="DC502" s="36"/>
      <c r="DD502" s="36"/>
      <c r="DE502" s="36"/>
      <c r="DF502" s="36"/>
      <c r="DG502" s="36"/>
      <c r="DH502" s="36"/>
      <c r="DI502" s="36"/>
      <c r="DJ502" s="36"/>
      <c r="DK502" s="36"/>
      <c r="DL502" s="36"/>
      <c r="DM502" s="36"/>
      <c r="DN502" s="36"/>
      <c r="DO502" s="36"/>
      <c r="DP502" s="55">
        <v>0</v>
      </c>
      <c r="DQ502" s="37">
        <v>1</v>
      </c>
      <c r="DR502" s="37">
        <f>PRODUCT(Таблица1[[#This Row],[Столбец4]:[РЕГ НТЛ]])</f>
        <v>0</v>
      </c>
    </row>
    <row r="503" spans="1:122" x14ac:dyDescent="0.25">
      <c r="A503" s="35">
        <v>286</v>
      </c>
      <c r="B503" s="36" t="s">
        <v>244</v>
      </c>
      <c r="C503" s="19" t="s">
        <v>30</v>
      </c>
      <c r="D503" s="36" t="s">
        <v>12</v>
      </c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>
        <v>5</v>
      </c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  <c r="CV503" s="36"/>
      <c r="CW503" s="36"/>
      <c r="CX503" s="36"/>
      <c r="CY503" s="36"/>
      <c r="CZ503" s="36"/>
      <c r="DA503" s="36"/>
      <c r="DB503" s="36"/>
      <c r="DC503" s="36"/>
      <c r="DD503" s="36"/>
      <c r="DE503" s="36"/>
      <c r="DF503" s="36"/>
      <c r="DG503" s="36"/>
      <c r="DH503" s="36"/>
      <c r="DI503" s="36"/>
      <c r="DJ503" s="36"/>
      <c r="DK503" s="36"/>
      <c r="DL503" s="36"/>
      <c r="DM503" s="36"/>
      <c r="DN503" s="36"/>
      <c r="DO503" s="36"/>
      <c r="DP503" s="55">
        <v>0</v>
      </c>
      <c r="DQ503" s="37">
        <v>1</v>
      </c>
      <c r="DR503" s="37">
        <f>PRODUCT(Таблица1[[#This Row],[Столбец4]:[РЕГ НТЛ]])</f>
        <v>0</v>
      </c>
    </row>
    <row r="504" spans="1:122" x14ac:dyDescent="0.25">
      <c r="A504" s="10">
        <v>3</v>
      </c>
      <c r="B504" s="2" t="s">
        <v>351</v>
      </c>
      <c r="C504" s="19" t="s">
        <v>40</v>
      </c>
      <c r="D504" s="2" t="s">
        <v>41</v>
      </c>
      <c r="E504" s="8"/>
      <c r="F504" s="2"/>
      <c r="G504" s="2"/>
      <c r="H504" s="2"/>
      <c r="I504" s="2"/>
      <c r="J504" s="2"/>
      <c r="K504" s="2"/>
      <c r="L504" s="2"/>
      <c r="M504" s="2"/>
      <c r="N504" s="2"/>
      <c r="O504" s="2">
        <v>8.6</v>
      </c>
      <c r="P504" s="2">
        <v>8.4</v>
      </c>
      <c r="Q504" s="2">
        <v>8.4</v>
      </c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55">
        <v>0</v>
      </c>
      <c r="DQ504" s="37">
        <v>0</v>
      </c>
      <c r="DR504" s="23">
        <f>PRODUCT(Таблица1[[#This Row],[Столбец4]:[РЕГ НТЛ]])</f>
        <v>0</v>
      </c>
    </row>
    <row r="505" spans="1:122" x14ac:dyDescent="0.25">
      <c r="A505" s="35">
        <v>57</v>
      </c>
      <c r="B505" s="36" t="s">
        <v>219</v>
      </c>
      <c r="C505" s="39" t="s">
        <v>32</v>
      </c>
      <c r="D505" s="36" t="s">
        <v>162</v>
      </c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>
        <v>9.6</v>
      </c>
      <c r="AO505" s="36">
        <v>9.4</v>
      </c>
      <c r="AP505" s="36">
        <v>9.8000000000000007</v>
      </c>
      <c r="AQ505" s="36">
        <v>9.4</v>
      </c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55">
        <v>0</v>
      </c>
      <c r="DQ505" s="37">
        <v>0</v>
      </c>
      <c r="DR505" s="37">
        <f>PRODUCT(Таблица1[[#This Row],[Столбец4]:[РЕГ НТЛ]])</f>
        <v>0</v>
      </c>
    </row>
    <row r="506" spans="1:122" x14ac:dyDescent="0.25">
      <c r="A506" s="38">
        <v>57</v>
      </c>
      <c r="B506" s="39" t="s">
        <v>219</v>
      </c>
      <c r="C506" s="39" t="s">
        <v>32</v>
      </c>
      <c r="D506" s="39" t="s">
        <v>146</v>
      </c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>
        <v>1</v>
      </c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  <c r="DH506" s="39"/>
      <c r="DI506" s="39"/>
      <c r="DJ506" s="39"/>
      <c r="DK506" s="39"/>
      <c r="DL506" s="39"/>
      <c r="DM506" s="39"/>
      <c r="DN506" s="39"/>
      <c r="DO506" s="39"/>
      <c r="DP506" s="55">
        <v>0</v>
      </c>
      <c r="DQ506" s="37">
        <v>0</v>
      </c>
      <c r="DR506" s="40">
        <f>PRODUCT(Таблица1[[#This Row],[Столбец4]:[РЕГ НТЛ]])</f>
        <v>0</v>
      </c>
    </row>
    <row r="507" spans="1:122" x14ac:dyDescent="0.25">
      <c r="A507" s="35">
        <v>83</v>
      </c>
      <c r="B507" s="36" t="s">
        <v>352</v>
      </c>
      <c r="C507" s="39" t="s">
        <v>28</v>
      </c>
      <c r="D507" s="36" t="s">
        <v>11</v>
      </c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>
        <v>6</v>
      </c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36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36"/>
      <c r="DM507" s="36"/>
      <c r="DN507" s="36"/>
      <c r="DO507" s="36"/>
      <c r="DP507" s="55">
        <v>0</v>
      </c>
      <c r="DQ507" s="37">
        <v>1</v>
      </c>
      <c r="DR507" s="37">
        <f>PRODUCT(Таблица1[[#This Row],[Столбец4]:[РЕГ НТЛ]])</f>
        <v>0</v>
      </c>
    </row>
    <row r="508" spans="1:122" x14ac:dyDescent="0.25">
      <c r="A508" s="35">
        <v>83</v>
      </c>
      <c r="B508" s="36" t="s">
        <v>352</v>
      </c>
      <c r="C508" s="39" t="s">
        <v>28</v>
      </c>
      <c r="D508" s="36" t="s">
        <v>11</v>
      </c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>
        <v>3</v>
      </c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  <c r="CR508" s="36"/>
      <c r="CS508" s="36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36"/>
      <c r="DM508" s="36"/>
      <c r="DN508" s="36"/>
      <c r="DO508" s="36"/>
      <c r="DP508" s="55">
        <v>0</v>
      </c>
      <c r="DQ508" s="37">
        <v>1</v>
      </c>
      <c r="DR508" s="37">
        <f>PRODUCT(Таблица1[[#This Row],[Столбец4]:[РЕГ НТЛ]])</f>
        <v>0</v>
      </c>
    </row>
    <row r="509" spans="1:122" x14ac:dyDescent="0.25">
      <c r="A509" s="38">
        <v>83</v>
      </c>
      <c r="B509" s="36" t="s">
        <v>352</v>
      </c>
      <c r="C509" s="39" t="s">
        <v>28</v>
      </c>
      <c r="D509" s="39" t="s">
        <v>11</v>
      </c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>
        <v>2</v>
      </c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55">
        <v>0</v>
      </c>
      <c r="DQ509" s="37">
        <v>1</v>
      </c>
      <c r="DR509" s="40">
        <f>PRODUCT(Таблица1[[#This Row],[Столбец4]:[РЕГ НТЛ]])</f>
        <v>0</v>
      </c>
    </row>
    <row r="510" spans="1:122" x14ac:dyDescent="0.25">
      <c r="A510" s="38">
        <v>83</v>
      </c>
      <c r="B510" s="39" t="s">
        <v>352</v>
      </c>
      <c r="C510" s="39" t="s">
        <v>28</v>
      </c>
      <c r="D510" s="39" t="s">
        <v>11</v>
      </c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>
        <v>5</v>
      </c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58">
        <v>0</v>
      </c>
      <c r="DQ510" s="37">
        <v>1</v>
      </c>
      <c r="DR510" s="40">
        <f>PRODUCT(Таблица1[[#This Row],[Столбец4]:[РЕГ НТЛ]])</f>
        <v>0</v>
      </c>
    </row>
    <row r="511" spans="1:122" x14ac:dyDescent="0.25">
      <c r="A511" s="35">
        <v>114</v>
      </c>
      <c r="B511" s="36" t="s">
        <v>353</v>
      </c>
      <c r="C511" s="39" t="s">
        <v>28</v>
      </c>
      <c r="D511" s="36" t="s">
        <v>11</v>
      </c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>
        <v>2</v>
      </c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/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  <c r="DO511" s="36"/>
      <c r="DP511" s="55">
        <v>8</v>
      </c>
      <c r="DQ511" s="37">
        <v>1</v>
      </c>
      <c r="DR511" s="37">
        <f>PRODUCT(Таблица1[[#This Row],[Столбец4]:[РЕГ НТЛ]])</f>
        <v>8</v>
      </c>
    </row>
    <row r="512" spans="1:122" x14ac:dyDescent="0.25">
      <c r="A512" s="10">
        <v>32</v>
      </c>
      <c r="B512" s="2" t="s">
        <v>354</v>
      </c>
      <c r="C512" s="19" t="s">
        <v>28</v>
      </c>
      <c r="D512" s="2" t="s">
        <v>29</v>
      </c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>
        <v>9.1999999999999993</v>
      </c>
      <c r="P512" s="2">
        <v>8.8000000000000007</v>
      </c>
      <c r="Q512" s="2">
        <v>8.6</v>
      </c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14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56">
        <v>0</v>
      </c>
      <c r="DQ512" s="23">
        <v>1</v>
      </c>
      <c r="DR512" s="23">
        <f>PRODUCT(Таблица1[[#This Row],[Столбец4]:[РЕГ НТЛ]])</f>
        <v>0</v>
      </c>
    </row>
    <row r="513" spans="1:122" x14ac:dyDescent="0.25">
      <c r="A513" s="44">
        <v>45</v>
      </c>
      <c r="B513" s="19" t="s">
        <v>218</v>
      </c>
      <c r="C513" s="19" t="s">
        <v>28</v>
      </c>
      <c r="D513" s="19" t="s">
        <v>29</v>
      </c>
      <c r="E513" s="19"/>
      <c r="F513" s="19"/>
      <c r="G513" s="19"/>
      <c r="H513" s="19"/>
      <c r="I513" s="19"/>
      <c r="J513" s="19"/>
      <c r="K513" s="19"/>
      <c r="L513" s="19">
        <v>9.4</v>
      </c>
      <c r="M513" s="19">
        <v>9.6</v>
      </c>
      <c r="N513" s="19">
        <v>9.6</v>
      </c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  <c r="DK513" s="19"/>
      <c r="DL513" s="19"/>
      <c r="DM513" s="19"/>
      <c r="DN513" s="19"/>
      <c r="DO513" s="19"/>
      <c r="DP513" s="55">
        <v>0</v>
      </c>
      <c r="DQ513" s="23">
        <v>1</v>
      </c>
      <c r="DR513" s="24">
        <f>PRODUCT(Таблица1[[#This Row],[Столбец4]:[РЕГ НТЛ]])</f>
        <v>0</v>
      </c>
    </row>
    <row r="514" spans="1:122" x14ac:dyDescent="0.25">
      <c r="A514" s="38">
        <v>107</v>
      </c>
      <c r="B514" s="39" t="s">
        <v>245</v>
      </c>
      <c r="C514" s="39" t="s">
        <v>28</v>
      </c>
      <c r="D514" s="39" t="s">
        <v>29</v>
      </c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>
        <v>8.6</v>
      </c>
      <c r="CG514" s="39">
        <v>8.4</v>
      </c>
      <c r="CH514" s="39">
        <v>9</v>
      </c>
      <c r="CI514" s="39">
        <v>8.1999999999999993</v>
      </c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  <c r="DG514" s="39"/>
      <c r="DH514" s="39"/>
      <c r="DI514" s="39"/>
      <c r="DJ514" s="39"/>
      <c r="DK514" s="39"/>
      <c r="DL514" s="39"/>
      <c r="DM514" s="39"/>
      <c r="DN514" s="39"/>
      <c r="DO514" s="39"/>
      <c r="DP514" s="58">
        <v>0</v>
      </c>
      <c r="DQ514" s="37">
        <v>1</v>
      </c>
      <c r="DR514" s="40">
        <f>PRODUCT(Таблица1[[#This Row],[Столбец4]:[РЕГ НТЛ]])</f>
        <v>0</v>
      </c>
    </row>
    <row r="515" spans="1:122" x14ac:dyDescent="0.25">
      <c r="A515" s="35">
        <v>107</v>
      </c>
      <c r="B515" s="36" t="s">
        <v>245</v>
      </c>
      <c r="C515" s="39" t="s">
        <v>28</v>
      </c>
      <c r="D515" s="36" t="s">
        <v>11</v>
      </c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>
        <v>1</v>
      </c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  <c r="DO515" s="36"/>
      <c r="DP515" s="55">
        <v>0</v>
      </c>
      <c r="DQ515" s="37">
        <v>1</v>
      </c>
      <c r="DR515" s="37">
        <f>PRODUCT(Таблица1[[#This Row],[Столбец4]:[РЕГ НТЛ]])</f>
        <v>0</v>
      </c>
    </row>
    <row r="516" spans="1:122" x14ac:dyDescent="0.25">
      <c r="A516" s="35">
        <v>107</v>
      </c>
      <c r="B516" s="36" t="s">
        <v>245</v>
      </c>
      <c r="C516" s="39" t="s">
        <v>28</v>
      </c>
      <c r="D516" s="36" t="s">
        <v>11</v>
      </c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36"/>
      <c r="DM516" s="36"/>
      <c r="DN516" s="36">
        <v>1</v>
      </c>
      <c r="DO516" s="36"/>
      <c r="DP516" s="55">
        <v>0</v>
      </c>
      <c r="DQ516" s="37">
        <v>1</v>
      </c>
      <c r="DR516" s="37">
        <f>PRODUCT(Таблица1[[#This Row],[Столбец4]:[РЕГ НТЛ]])</f>
        <v>0</v>
      </c>
    </row>
    <row r="517" spans="1:122" x14ac:dyDescent="0.25">
      <c r="A517" s="35">
        <v>48</v>
      </c>
      <c r="B517" s="36" t="s">
        <v>357</v>
      </c>
      <c r="C517" s="39" t="s">
        <v>32</v>
      </c>
      <c r="D517" s="36" t="s">
        <v>162</v>
      </c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>
        <v>8.8000000000000007</v>
      </c>
      <c r="AZ517" s="36">
        <v>9.1999999999999993</v>
      </c>
      <c r="BA517" s="36">
        <v>9.6</v>
      </c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36"/>
      <c r="CT517" s="36"/>
      <c r="CU517" s="36"/>
      <c r="CV517" s="36"/>
      <c r="CW517" s="36"/>
      <c r="CX517" s="36"/>
      <c r="CY517" s="36"/>
      <c r="CZ517" s="36"/>
      <c r="DA517" s="36"/>
      <c r="DB517" s="36"/>
      <c r="DC517" s="36"/>
      <c r="DD517" s="36"/>
      <c r="DE517" s="36"/>
      <c r="DF517" s="36"/>
      <c r="DG517" s="36"/>
      <c r="DH517" s="36"/>
      <c r="DI517" s="36"/>
      <c r="DJ517" s="36"/>
      <c r="DK517" s="36"/>
      <c r="DL517" s="36"/>
      <c r="DM517" s="36"/>
      <c r="DN517" s="36"/>
      <c r="DO517" s="36"/>
      <c r="DP517" s="55">
        <v>0</v>
      </c>
      <c r="DQ517" s="37">
        <v>0</v>
      </c>
      <c r="DR517" s="37">
        <f>PRODUCT(Таблица1[[#This Row],[Столбец4]:[РЕГ НТЛ]])</f>
        <v>0</v>
      </c>
    </row>
    <row r="518" spans="1:122" x14ac:dyDescent="0.25">
      <c r="A518" s="35">
        <v>48</v>
      </c>
      <c r="B518" s="36" t="s">
        <v>357</v>
      </c>
      <c r="C518" s="39" t="s">
        <v>32</v>
      </c>
      <c r="D518" s="36" t="s">
        <v>146</v>
      </c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>
        <v>7</v>
      </c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  <c r="CR518" s="36"/>
      <c r="CS518" s="36"/>
      <c r="CT518" s="36"/>
      <c r="CU518" s="36"/>
      <c r="CV518" s="36"/>
      <c r="CW518" s="36"/>
      <c r="CX518" s="36"/>
      <c r="CY518" s="36"/>
      <c r="CZ518" s="36"/>
      <c r="DA518" s="36"/>
      <c r="DB518" s="36"/>
      <c r="DC518" s="36"/>
      <c r="DD518" s="36"/>
      <c r="DE518" s="36"/>
      <c r="DF518" s="36"/>
      <c r="DG518" s="36"/>
      <c r="DH518" s="36"/>
      <c r="DI518" s="36"/>
      <c r="DJ518" s="36"/>
      <c r="DK518" s="36"/>
      <c r="DL518" s="36"/>
      <c r="DM518" s="36"/>
      <c r="DN518" s="36"/>
      <c r="DO518" s="36"/>
      <c r="DP518" s="55">
        <v>0</v>
      </c>
      <c r="DQ518" s="37">
        <v>0</v>
      </c>
      <c r="DR518" s="37">
        <f>PRODUCT(Таблица1[[#This Row],[Столбец4]:[РЕГ НТЛ]])</f>
        <v>0</v>
      </c>
    </row>
    <row r="519" spans="1:122" x14ac:dyDescent="0.25">
      <c r="A519" s="35">
        <v>108</v>
      </c>
      <c r="B519" s="36" t="s">
        <v>358</v>
      </c>
      <c r="C519" s="2" t="s">
        <v>30</v>
      </c>
      <c r="D519" s="36" t="s">
        <v>12</v>
      </c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>
        <v>6</v>
      </c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  <c r="DO519" s="36"/>
      <c r="DP519" s="56">
        <v>0</v>
      </c>
      <c r="DQ519" s="37">
        <v>1</v>
      </c>
      <c r="DR519" s="37">
        <f>PRODUCT(Таблица1[[#This Row],[Столбец4]:[РЕГ НТЛ]])</f>
        <v>0</v>
      </c>
    </row>
    <row r="520" spans="1:122" x14ac:dyDescent="0.25">
      <c r="A520" s="10">
        <v>11</v>
      </c>
      <c r="B520" s="19" t="s">
        <v>359</v>
      </c>
      <c r="C520" s="2" t="s">
        <v>127</v>
      </c>
      <c r="D520" s="2" t="s">
        <v>129</v>
      </c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>
        <v>8</v>
      </c>
      <c r="P520" s="2">
        <v>7.6</v>
      </c>
      <c r="Q520" s="2">
        <v>8</v>
      </c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56">
        <v>0</v>
      </c>
      <c r="DQ520" s="23">
        <v>0</v>
      </c>
      <c r="DR520" s="23">
        <f>PRODUCT(Таблица1[[#This Row],[Столбец4]:[РЕГ НТЛ]])</f>
        <v>0</v>
      </c>
    </row>
    <row r="521" spans="1:122" x14ac:dyDescent="0.25">
      <c r="A521" s="10">
        <v>12</v>
      </c>
      <c r="B521" s="19" t="s">
        <v>360</v>
      </c>
      <c r="C521" s="2" t="s">
        <v>127</v>
      </c>
      <c r="D521" s="2" t="s">
        <v>129</v>
      </c>
      <c r="E521" s="8"/>
      <c r="F521" s="2"/>
      <c r="G521" s="2"/>
      <c r="H521" s="2"/>
      <c r="I521" s="2"/>
      <c r="J521" s="2"/>
      <c r="K521" s="2"/>
      <c r="L521" s="2"/>
      <c r="M521" s="2"/>
      <c r="N521" s="2"/>
      <c r="O521" s="2">
        <v>8</v>
      </c>
      <c r="P521" s="2">
        <v>7.8</v>
      </c>
      <c r="Q521" s="2">
        <v>8.1999999999999993</v>
      </c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55">
        <v>0</v>
      </c>
      <c r="DQ521" s="23">
        <v>0</v>
      </c>
      <c r="DR521" s="23">
        <f>PRODUCT(Таблица1[[#This Row],[Столбец4]:[РЕГ НТЛ]])</f>
        <v>0</v>
      </c>
    </row>
    <row r="522" spans="1:122" x14ac:dyDescent="0.25">
      <c r="A522" s="38">
        <v>85</v>
      </c>
      <c r="B522" s="39" t="s">
        <v>225</v>
      </c>
      <c r="C522" s="36" t="s">
        <v>28</v>
      </c>
      <c r="D522" s="39" t="s">
        <v>29</v>
      </c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>
        <v>8.8000000000000007</v>
      </c>
      <c r="AW522" s="39">
        <v>8.8000000000000007</v>
      </c>
      <c r="AX522" s="39">
        <v>9.6</v>
      </c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  <c r="DG522" s="39"/>
      <c r="DH522" s="39"/>
      <c r="DI522" s="39"/>
      <c r="DJ522" s="39"/>
      <c r="DK522" s="39"/>
      <c r="DL522" s="39"/>
      <c r="DM522" s="39"/>
      <c r="DN522" s="39"/>
      <c r="DO522" s="39"/>
      <c r="DP522" s="55">
        <v>0</v>
      </c>
      <c r="DQ522" s="37">
        <v>1</v>
      </c>
      <c r="DR522" s="40">
        <f>PRODUCT(Таблица1[[#This Row],[Столбец4]:[РЕГ НТЛ]])</f>
        <v>0</v>
      </c>
    </row>
  </sheetData>
  <hyperlinks>
    <hyperlink ref="C7" r:id="rId1"/>
  </hyperlinks>
  <pageMargins left="0.7" right="0.7" top="0.75" bottom="0.75" header="0.3" footer="0.3"/>
  <pageSetup paperSize="9" scale="20" fitToWidth="0" orientation="landscape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"/>
    </sheetView>
  </sheetViews>
  <sheetFormatPr defaultRowHeight="15" x14ac:dyDescent="0.25"/>
  <cols>
    <col min="1" max="1" width="25.140625" customWidth="1"/>
    <col min="2" max="2" width="39" customWidth="1"/>
  </cols>
  <sheetData>
    <row r="1" spans="1:6" x14ac:dyDescent="0.25">
      <c r="A1" t="s">
        <v>99</v>
      </c>
      <c r="B1" t="s">
        <v>3</v>
      </c>
      <c r="C1" s="25" t="s">
        <v>97</v>
      </c>
      <c r="D1" s="25" t="s">
        <v>100</v>
      </c>
      <c r="E1" s="25" t="s">
        <v>98</v>
      </c>
      <c r="F1" s="25" t="s">
        <v>101</v>
      </c>
    </row>
    <row r="2" spans="1:6" ht="15.75" x14ac:dyDescent="0.25">
      <c r="A2" t="s">
        <v>28</v>
      </c>
      <c r="B2" t="s">
        <v>102</v>
      </c>
      <c r="C2" s="25">
        <v>63</v>
      </c>
      <c r="D2" s="26">
        <v>60.000000000000007</v>
      </c>
      <c r="E2" s="25">
        <v>738</v>
      </c>
      <c r="F2" s="27">
        <v>861</v>
      </c>
    </row>
    <row r="3" spans="1:6" ht="15.75" x14ac:dyDescent="0.25">
      <c r="A3" t="s">
        <v>23</v>
      </c>
      <c r="B3" t="s">
        <v>33</v>
      </c>
      <c r="C3" s="25">
        <v>21</v>
      </c>
      <c r="D3" s="26">
        <v>20.000000000000004</v>
      </c>
      <c r="E3" s="25">
        <v>151</v>
      </c>
      <c r="F3" s="27">
        <v>192</v>
      </c>
    </row>
    <row r="4" spans="1:6" ht="15.75" x14ac:dyDescent="0.25">
      <c r="A4" t="s">
        <v>30</v>
      </c>
      <c r="B4" t="s">
        <v>103</v>
      </c>
      <c r="C4" s="25">
        <v>12</v>
      </c>
      <c r="D4" s="26">
        <v>11.428571428571429</v>
      </c>
      <c r="E4" s="25">
        <v>112</v>
      </c>
      <c r="F4" s="27">
        <v>135.42857142857144</v>
      </c>
    </row>
    <row r="5" spans="1:6" ht="15.75" x14ac:dyDescent="0.25">
      <c r="A5" t="s">
        <v>37</v>
      </c>
      <c r="B5" t="s">
        <v>38</v>
      </c>
      <c r="C5" s="25">
        <v>4</v>
      </c>
      <c r="D5" s="26">
        <v>3.8095238095238098</v>
      </c>
      <c r="E5" s="25">
        <v>42</v>
      </c>
      <c r="F5" s="27">
        <v>49.80952380952381</v>
      </c>
    </row>
    <row r="6" spans="1:6" ht="15.75" x14ac:dyDescent="0.25">
      <c r="A6" t="s">
        <v>25</v>
      </c>
      <c r="B6" t="s">
        <v>361</v>
      </c>
      <c r="C6" s="25">
        <v>4</v>
      </c>
      <c r="D6" s="26">
        <v>3.8095238095238098</v>
      </c>
      <c r="E6" s="25">
        <v>38</v>
      </c>
      <c r="F6" s="27">
        <v>45.80952380952381</v>
      </c>
    </row>
    <row r="7" spans="1:6" ht="15.75" x14ac:dyDescent="0.25">
      <c r="A7" t="s">
        <v>35</v>
      </c>
      <c r="B7" t="s">
        <v>36</v>
      </c>
      <c r="C7" s="25">
        <v>1</v>
      </c>
      <c r="D7" s="26">
        <v>0.95238095238095244</v>
      </c>
      <c r="E7" s="25">
        <v>14</v>
      </c>
      <c r="F7" s="27">
        <v>15.952380952380953</v>
      </c>
    </row>
    <row r="8" spans="1:6" ht="15.75" x14ac:dyDescent="0.25">
      <c r="A8" t="s">
        <v>92</v>
      </c>
      <c r="B8" t="s">
        <v>104</v>
      </c>
      <c r="C8" s="25">
        <v>0</v>
      </c>
      <c r="D8" s="26">
        <v>0</v>
      </c>
      <c r="E8" s="25">
        <v>0</v>
      </c>
      <c r="F8" s="27">
        <v>0</v>
      </c>
    </row>
    <row r="9" spans="1:6" ht="15.75" x14ac:dyDescent="0.25">
      <c r="A9" s="28" t="s">
        <v>131</v>
      </c>
      <c r="B9" t="s">
        <v>132</v>
      </c>
      <c r="C9" s="25">
        <v>0</v>
      </c>
      <c r="D9" s="26">
        <v>0</v>
      </c>
      <c r="E9" s="25">
        <v>0</v>
      </c>
      <c r="F9" s="27">
        <v>0</v>
      </c>
    </row>
    <row r="10" spans="1:6" x14ac:dyDescent="0.25">
      <c r="A10" t="s">
        <v>248</v>
      </c>
      <c r="B10" t="s">
        <v>128</v>
      </c>
      <c r="C10" s="25">
        <v>0</v>
      </c>
      <c r="D10" s="26">
        <v>0</v>
      </c>
      <c r="E10" s="25">
        <v>0</v>
      </c>
      <c r="F10" s="62">
        <v>0</v>
      </c>
    </row>
    <row r="11" spans="1:6" ht="15.75" x14ac:dyDescent="0.25">
      <c r="A11" t="s">
        <v>32</v>
      </c>
      <c r="B11" t="s">
        <v>162</v>
      </c>
      <c r="C11" s="25">
        <v>0</v>
      </c>
      <c r="D11" s="26">
        <v>0</v>
      </c>
      <c r="E11" s="25">
        <v>0</v>
      </c>
      <c r="F11" s="27">
        <v>0</v>
      </c>
    </row>
    <row r="12" spans="1:6" ht="15.75" x14ac:dyDescent="0.25">
      <c r="A12" t="s">
        <v>40</v>
      </c>
      <c r="B12" t="s">
        <v>41</v>
      </c>
      <c r="C12" s="25">
        <v>0</v>
      </c>
      <c r="D12" s="26">
        <v>0</v>
      </c>
      <c r="E12" s="25">
        <v>0</v>
      </c>
      <c r="F12" s="27">
        <v>0</v>
      </c>
    </row>
    <row r="13" spans="1:6" x14ac:dyDescent="0.25">
      <c r="A13" t="s">
        <v>249</v>
      </c>
      <c r="B13" t="s">
        <v>250</v>
      </c>
      <c r="C13" s="25">
        <v>0</v>
      </c>
      <c r="D13" s="26">
        <v>0</v>
      </c>
      <c r="E13" s="25">
        <v>0</v>
      </c>
      <c r="F13" s="6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30" sqref="B30"/>
    </sheetView>
  </sheetViews>
  <sheetFormatPr defaultRowHeight="15" x14ac:dyDescent="0.25"/>
  <cols>
    <col min="1" max="1" width="21.140625" customWidth="1"/>
    <col min="2" max="2" width="56" customWidth="1"/>
    <col min="3" max="3" width="11.140625" customWidth="1"/>
    <col min="4" max="5" width="9.7109375" customWidth="1"/>
  </cols>
  <sheetData>
    <row r="1" spans="1:6" s="29" customFormat="1" ht="18.75" x14ac:dyDescent="0.3">
      <c r="A1" s="29" t="s">
        <v>105</v>
      </c>
    </row>
    <row r="2" spans="1:6" x14ac:dyDescent="0.25">
      <c r="A2" t="s">
        <v>99</v>
      </c>
      <c r="B2" t="s">
        <v>3</v>
      </c>
      <c r="C2" s="25" t="s">
        <v>97</v>
      </c>
      <c r="D2" s="25" t="s">
        <v>100</v>
      </c>
      <c r="E2" s="25" t="s">
        <v>98</v>
      </c>
      <c r="F2" s="25" t="s">
        <v>101</v>
      </c>
    </row>
    <row r="3" spans="1:6" ht="15.75" x14ac:dyDescent="0.25">
      <c r="A3" t="s">
        <v>23</v>
      </c>
      <c r="B3" t="s">
        <v>33</v>
      </c>
      <c r="C3" s="25">
        <v>22</v>
      </c>
      <c r="D3" s="26">
        <f>PRODUCT(Таблица2423[[#This Row],[N]],100,1/77)</f>
        <v>28.571428571428573</v>
      </c>
      <c r="E3" s="25">
        <v>124</v>
      </c>
      <c r="F3" s="27">
        <f>SUM(Таблица2423[[#This Row],[N]:[Q]])</f>
        <v>174.57142857142856</v>
      </c>
    </row>
    <row r="4" spans="1:6" ht="15.75" x14ac:dyDescent="0.25">
      <c r="A4" t="s">
        <v>30</v>
      </c>
      <c r="B4" t="s">
        <v>103</v>
      </c>
      <c r="C4" s="25">
        <v>13</v>
      </c>
      <c r="D4" s="26">
        <f>PRODUCT(Таблица2423[[#This Row],[N]],100,1/77)</f>
        <v>16.883116883116884</v>
      </c>
      <c r="E4" s="25">
        <v>118</v>
      </c>
      <c r="F4" s="27">
        <f>SUM(Таблица2423[[#This Row],[N]:[Q]])</f>
        <v>147.88311688311688</v>
      </c>
    </row>
    <row r="5" spans="1:6" ht="15.75" x14ac:dyDescent="0.25">
      <c r="A5" t="s">
        <v>32</v>
      </c>
      <c r="B5" t="s">
        <v>162</v>
      </c>
      <c r="C5" s="25">
        <v>10</v>
      </c>
      <c r="D5" s="26">
        <f>PRODUCT(Таблица2423[[#This Row],[N]],100,1/77)</f>
        <v>12.987012987012989</v>
      </c>
      <c r="E5" s="25">
        <v>54</v>
      </c>
      <c r="F5" s="27">
        <f>SUM(Таблица2423[[#This Row],[N]:[Q]])</f>
        <v>76.987012987012989</v>
      </c>
    </row>
    <row r="6" spans="1:6" ht="15.75" x14ac:dyDescent="0.25">
      <c r="A6" t="s">
        <v>37</v>
      </c>
      <c r="B6" t="s">
        <v>38</v>
      </c>
      <c r="C6" s="25">
        <v>4</v>
      </c>
      <c r="D6" s="26">
        <f>PRODUCT(Таблица2423[[#This Row],[N]],100,1/77)</f>
        <v>5.1948051948051948</v>
      </c>
      <c r="E6" s="25">
        <v>45</v>
      </c>
      <c r="F6" s="27">
        <f>SUM(Таблица2423[[#This Row],[N]:[Q]])</f>
        <v>54.194805194805198</v>
      </c>
    </row>
    <row r="7" spans="1:6" ht="15.75" x14ac:dyDescent="0.25">
      <c r="A7" t="s">
        <v>40</v>
      </c>
      <c r="B7" t="s">
        <v>41</v>
      </c>
      <c r="C7" s="25">
        <v>9</v>
      </c>
      <c r="D7" s="26">
        <f>PRODUCT(Таблица2423[[#This Row],[N]],100,1/77)</f>
        <v>11.688311688311689</v>
      </c>
      <c r="E7" s="25">
        <v>20</v>
      </c>
      <c r="F7" s="27">
        <f>SUM(Таблица2423[[#This Row],[N]:[Q]])</f>
        <v>40.688311688311686</v>
      </c>
    </row>
    <row r="8" spans="1:6" ht="15.75" x14ac:dyDescent="0.25">
      <c r="A8" t="s">
        <v>25</v>
      </c>
      <c r="B8" t="s">
        <v>361</v>
      </c>
      <c r="C8" s="25">
        <v>5</v>
      </c>
      <c r="D8" s="26">
        <f>PRODUCT(Таблица2423[[#This Row],[N]],100,1/77)</f>
        <v>6.4935064935064943</v>
      </c>
      <c r="E8" s="25">
        <v>28</v>
      </c>
      <c r="F8" s="27">
        <f>SUM(Таблица2423[[#This Row],[N]:[Q]])</f>
        <v>39.493506493506494</v>
      </c>
    </row>
    <row r="9" spans="1:6" ht="15.75" x14ac:dyDescent="0.25">
      <c r="A9" t="s">
        <v>92</v>
      </c>
      <c r="B9" t="s">
        <v>104</v>
      </c>
      <c r="C9" s="25">
        <v>5</v>
      </c>
      <c r="D9" s="26">
        <f>PRODUCT(Таблица2423[[#This Row],[N]],100,1/77)</f>
        <v>6.4935064935064943</v>
      </c>
      <c r="E9" s="25">
        <v>18</v>
      </c>
      <c r="F9" s="27">
        <f>SUM(Таблица2423[[#This Row],[N]:[Q]])</f>
        <v>29.493506493506494</v>
      </c>
    </row>
    <row r="10" spans="1:6" x14ac:dyDescent="0.25">
      <c r="A10" t="s">
        <v>248</v>
      </c>
      <c r="B10" t="s">
        <v>128</v>
      </c>
      <c r="C10" s="25">
        <v>6</v>
      </c>
      <c r="D10" s="26">
        <f>PRODUCT(Таблица2423[[#This Row],[N]],100,1/77)</f>
        <v>7.792207792207793</v>
      </c>
      <c r="E10" s="25">
        <v>0</v>
      </c>
      <c r="F10" s="62">
        <f>SUM(Таблица2423[[#This Row],[N]:[Q]])</f>
        <v>13.792207792207794</v>
      </c>
    </row>
    <row r="11" spans="1:6" ht="15.75" x14ac:dyDescent="0.25">
      <c r="A11" t="s">
        <v>35</v>
      </c>
      <c r="B11" t="s">
        <v>36</v>
      </c>
      <c r="C11" s="25">
        <v>1</v>
      </c>
      <c r="D11" s="26">
        <f>PRODUCT(Таблица2423[[#This Row],[N]],100,1/77)</f>
        <v>1.2987012987012987</v>
      </c>
      <c r="E11" s="25">
        <v>8</v>
      </c>
      <c r="F11" s="27">
        <f>SUM(Таблица2423[[#This Row],[N]:[Q]])</f>
        <v>10.2987012987013</v>
      </c>
    </row>
    <row r="12" spans="1:6" x14ac:dyDescent="0.25">
      <c r="A12" t="s">
        <v>249</v>
      </c>
      <c r="B12" t="s">
        <v>250</v>
      </c>
      <c r="C12" s="25">
        <v>1</v>
      </c>
      <c r="D12" s="26">
        <f>PRODUCT(Таблица2423[[#This Row],[N]],100,1/77)</f>
        <v>1.2987012987012987</v>
      </c>
      <c r="E12" s="25">
        <v>7</v>
      </c>
      <c r="F12" s="62">
        <f>SUM(Таблица2423[[#This Row],[N]:[Q]])</f>
        <v>9.2987012987012996</v>
      </c>
    </row>
    <row r="13" spans="1:6" ht="15.75" x14ac:dyDescent="0.25">
      <c r="A13" s="28" t="s">
        <v>131</v>
      </c>
      <c r="B13" t="s">
        <v>132</v>
      </c>
      <c r="C13" s="25">
        <v>1</v>
      </c>
      <c r="D13" s="26">
        <f>PRODUCT(Таблица2423[[#This Row],[N]],100,1/77)</f>
        <v>1.2987012987012987</v>
      </c>
      <c r="E13" s="25">
        <v>2</v>
      </c>
      <c r="F13" s="27">
        <f>SUM(Таблица2423[[#This Row],[N]:[Q]])</f>
        <v>4.2987012987012987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22"/>
  <sheetViews>
    <sheetView zoomScale="80" zoomScaleNormal="80" workbookViewId="0">
      <selection activeCell="AH543" sqref="AH543"/>
    </sheetView>
  </sheetViews>
  <sheetFormatPr defaultRowHeight="15" x14ac:dyDescent="0.25"/>
  <cols>
    <col min="1" max="1" width="7.140625" style="3" customWidth="1"/>
    <col min="2" max="2" width="40.85546875" style="3" customWidth="1"/>
    <col min="3" max="3" width="23.42578125" style="3" customWidth="1"/>
    <col min="4" max="4" width="18.42578125" style="3" hidden="1" customWidth="1"/>
    <col min="5" max="33" width="3.7109375" style="3" hidden="1" customWidth="1"/>
    <col min="34" max="37" width="3.7109375" style="3" customWidth="1"/>
    <col min="38" max="53" width="3.7109375" style="3" hidden="1" customWidth="1"/>
    <col min="54" max="83" width="3.7109375" style="3" customWidth="1"/>
    <col min="84" max="94" width="3.7109375" style="3" hidden="1" customWidth="1"/>
    <col min="95" max="132" width="3.7109375" style="3" customWidth="1"/>
    <col min="133" max="136" width="4.5703125" style="3" customWidth="1"/>
    <col min="137" max="137" width="2.28515625" style="3" customWidth="1"/>
    <col min="138" max="154" width="5" style="3" customWidth="1"/>
    <col min="155" max="16384" width="9.140625" style="3"/>
  </cols>
  <sheetData>
    <row r="1" spans="1:120" x14ac:dyDescent="0.25">
      <c r="A1" s="4" t="s">
        <v>10</v>
      </c>
      <c r="E1" s="22"/>
      <c r="F1" s="3" t="s">
        <v>96</v>
      </c>
      <c r="AG1" s="66"/>
      <c r="AH1" s="65"/>
    </row>
    <row r="2" spans="1:120" x14ac:dyDescent="0.25">
      <c r="A2" s="4" t="s">
        <v>4</v>
      </c>
      <c r="B2" s="5"/>
      <c r="C2" s="20" t="s">
        <v>106</v>
      </c>
      <c r="AG2" s="66"/>
      <c r="AH2" s="65"/>
    </row>
    <row r="3" spans="1:120" x14ac:dyDescent="0.25">
      <c r="A3" s="4" t="s">
        <v>6</v>
      </c>
      <c r="B3" s="6"/>
      <c r="C3" s="20" t="s">
        <v>107</v>
      </c>
      <c r="AG3" s="66"/>
      <c r="AH3" s="65"/>
    </row>
    <row r="4" spans="1:120" x14ac:dyDescent="0.25">
      <c r="A4" s="4" t="s">
        <v>5</v>
      </c>
      <c r="C4" s="20" t="s">
        <v>93</v>
      </c>
      <c r="AH4" s="65"/>
    </row>
    <row r="5" spans="1:120" x14ac:dyDescent="0.25">
      <c r="A5" s="4" t="s">
        <v>7</v>
      </c>
      <c r="C5" s="20" t="s">
        <v>94</v>
      </c>
      <c r="AH5" s="65"/>
    </row>
    <row r="6" spans="1:120" x14ac:dyDescent="0.25">
      <c r="A6" s="4" t="s">
        <v>8</v>
      </c>
      <c r="C6" s="20">
        <v>89099827060</v>
      </c>
    </row>
    <row r="7" spans="1:120" x14ac:dyDescent="0.25">
      <c r="A7" s="4" t="s">
        <v>9</v>
      </c>
      <c r="B7" s="7"/>
      <c r="C7" s="21" t="s">
        <v>95</v>
      </c>
      <c r="D7" s="32"/>
      <c r="E7" s="3">
        <f>COUNT(Таблица15[Dancepride Trophy J 7 лет и мл. СОЛО  ])</f>
        <v>5</v>
      </c>
      <c r="F7" s="3">
        <f>COUNT(Таблица15[Dancepride Trophy Q 7 лет и мл. СОЛО  ])</f>
        <v>6</v>
      </c>
      <c r="G7" s="3">
        <f>COUNT(Таблица15[Dancepride Trophy W+CH+PL 7 лет и мл. СОЛО  ])</f>
        <v>9</v>
      </c>
      <c r="H7" s="3">
        <f>COUNT(Таблица15[Зачет на N 7 и мл. Соло W])</f>
        <v>7</v>
      </c>
      <c r="I7" s="3">
        <f>COUNT(Таблица15[Зачет на N 7 и мл. Соло Q])</f>
        <v>7</v>
      </c>
      <c r="J7" s="3">
        <f>COUNT(Таблица15[Зачет на N 7 и мл. Соло CH])</f>
        <v>7</v>
      </c>
      <c r="K7" s="3">
        <f>COUNT(Таблица15[Зачет на N 7 и мл. Соло J])</f>
        <v>7</v>
      </c>
      <c r="L7" s="3">
        <f>COUNT(Таблица15[Зачет ШБТ 7 и мл. ПАРЫ W])</f>
        <v>4</v>
      </c>
      <c r="M7" s="3">
        <f>COUNT(Таблица15[Зачет ШБТ 7 и мл. ПАРЫ CH])</f>
        <v>4</v>
      </c>
      <c r="N7" s="3">
        <f>COUNT(Таблица15[Зачет ШБТ 7 и мл. ПАРЫ PL])</f>
        <v>4</v>
      </c>
      <c r="O7" s="3">
        <f>COUNT(Таблица15[Зачет ШБТ 7 и мл. Соло W])</f>
        <v>35</v>
      </c>
      <c r="P7" s="3">
        <f>COUNT(Таблица15[Зачет ШБТ 7 и мл. Соло CH])</f>
        <v>35</v>
      </c>
      <c r="Q7" s="3">
        <f>COUNT(Таблица15[Зачет ШБТ 7 и мл. Соло PL])</f>
        <v>35</v>
      </c>
      <c r="R7" s="3">
        <f>COUNT(Таблица15[Классификация N 7 лет и мл. СОЛО  ])</f>
        <v>6</v>
      </c>
      <c r="S7" s="3">
        <f>COUNT(Таблица15[5 лет и мл.  Кубок Ча-Ча-Ча СОЛО])</f>
        <v>8</v>
      </c>
      <c r="T7" s="3">
        <f>COUNT(Таблица15[7 лет и мл.  Кубок Ча-Ча-Ча ПАРЫ])</f>
        <v>3</v>
      </c>
      <c r="U7" s="3">
        <f>COUNT(Таблица15[7 лет и мл.  Кубок Ча-Ча-Ча СОЛО])</f>
        <v>12</v>
      </c>
      <c r="V7" s="3">
        <f>COUNT(Таблица15[7 лет и мл.  Кубок Джайва СОЛО])</f>
        <v>5</v>
      </c>
      <c r="W7" s="3">
        <f>COUNT(Таблица15[5 лет и мл.  Кубок Польки СОЛО])</f>
        <v>12</v>
      </c>
      <c r="X7" s="3">
        <f>COUNT(Таблица15[7 лет и мл.  Кубок Польки ПАРЫ])</f>
        <v>3</v>
      </c>
      <c r="Y7" s="3">
        <f>COUNT(Таблица15[7 лет и мл.  Кубок Польки СОЛО])</f>
        <v>8</v>
      </c>
      <c r="Z7" s="3">
        <f>COUNT(Таблица15[7 лет и мл.  Кубок Квикстепа СОЛО])</f>
        <v>7</v>
      </c>
      <c r="AA7" s="3">
        <f>COUNT(Таблица15[5 лет и мл.  Кубок Вальса СОЛО])</f>
        <v>8</v>
      </c>
      <c r="AB7" s="3">
        <f>COUNT(Таблица15[7 лет и мл.  Кубок Вальса ПАРЫ])</f>
        <v>2</v>
      </c>
      <c r="AC7" s="3">
        <f>COUNT(Таблица15[7 лет и мл.  Кубок Вальса СОЛО])</f>
        <v>10</v>
      </c>
      <c r="AD7" s="3">
        <f>COUNT(Таблица15[Dancepride Trophy CH 9 лет и мл. СОЛО  ])</f>
        <v>8</v>
      </c>
      <c r="AE7" s="3">
        <f>COUNT(Таблица15[Dancepride Trophy CH+J 9 лет и мл. ПАРЫ  ])</f>
        <v>4</v>
      </c>
      <c r="AF7" s="3">
        <f>COUNT(Таблица15[Dancepride Trophy CH+J 9 лет и мл. СОЛО  ])</f>
        <v>9</v>
      </c>
      <c r="AG7" s="3">
        <f>COUNT(Таблица15[Dancepride Trophy HH 9 лет и мл. СОЛО  ])</f>
        <v>3</v>
      </c>
      <c r="AH7" s="3">
        <f>COUNT(Таблица15[Dancepride Trophy W 9 лет и мл. СОЛО  ])</f>
        <v>4</v>
      </c>
      <c r="AI7" s="3">
        <f>COUNT(Таблица15[Dancepride Trophy W+CH+PL 9 лет и мл. СОЛО  ])</f>
        <v>8</v>
      </c>
      <c r="AJ7" s="3">
        <f>COUNT(Таблица15[Dancepride Trophy W+Q 9 лет и мл. ПАРЫ  ])</f>
        <v>3</v>
      </c>
      <c r="AK7" s="3">
        <f>COUNT(Таблица15[Dancepride Trophy W+Q 9 лет и мл. СОЛО  ])</f>
        <v>6</v>
      </c>
      <c r="AL7" s="3">
        <f>COUNT(Таблица15[Зачет на E 9 и мл. Соло T])</f>
        <v>5</v>
      </c>
      <c r="AM7" s="3">
        <f>COUNT(Таблица15[Зачет на E 9 и мл. Соло R])</f>
        <v>5</v>
      </c>
      <c r="AN7" s="3">
        <f>COUNT(Таблица15[Зачет на N 9 и мл. ПАРЫ W])</f>
        <v>3</v>
      </c>
      <c r="AO7" s="3">
        <f>COUNT(Таблица15[Зачет на N 9 и мл. ПАРЫ Q])</f>
        <v>3</v>
      </c>
      <c r="AP7" s="3">
        <f>COUNT(Таблица15[Зачет на N 9 и мл. ПАРЫ CH])</f>
        <v>3</v>
      </c>
      <c r="AQ7" s="3">
        <f>COUNT(Таблица15[Зачет на N 9 и мл. ПАРЫ J])</f>
        <v>3</v>
      </c>
      <c r="AR7" s="3">
        <f>COUNT(Таблица15[Зачет на N 9 и мл. Соло W])</f>
        <v>7</v>
      </c>
      <c r="AS7" s="3">
        <f>COUNT(Таблица15[Зачет на N 9 и мл. Соло Q])</f>
        <v>7</v>
      </c>
      <c r="AT7" s="3">
        <f>COUNT(Таблица15[Зачет на N 9 и мл. Соло CH])</f>
        <v>7</v>
      </c>
      <c r="AU7" s="3">
        <f>COUNT(Таблица15[Зачет на N 9 и мл. Соло J])</f>
        <v>7</v>
      </c>
      <c r="AV7" s="3">
        <f>COUNT(Таблица15[Зачет ШБТ 9 и мл. ПАРЫ W])</f>
        <v>4</v>
      </c>
      <c r="AW7" s="3">
        <f>COUNT(Таблица15[Зачет ШБТ 9 и мл. ПАРЫ CH])</f>
        <v>4</v>
      </c>
      <c r="AX7" s="3">
        <f>COUNT(Таблица15[Зачет ШБТ 9 и мл. ПАРЫ PL])</f>
        <v>4</v>
      </c>
      <c r="AY7" s="3">
        <f>COUNT(Таблица15[Зачет ШБТ 9 и мл. Соло W])</f>
        <v>11</v>
      </c>
      <c r="AZ7" s="3">
        <f>COUNT(Таблица15[Зачет ШБТ 9 и мл. Соло CH])</f>
        <v>11</v>
      </c>
      <c r="BA7" s="3">
        <f>COUNT(Таблица15[Зачет ШБТ 9 и мл. Соло J])</f>
        <v>11</v>
      </c>
      <c r="BB7" s="3">
        <f>COUNT(Таблица15[Классификация E 9 лет и мл. ПАРЫ  ])</f>
        <v>3</v>
      </c>
      <c r="BC7" s="3">
        <f>COUNT(Таблица15[Классификация E 9 лет и мл. СОЛО  ])</f>
        <v>3</v>
      </c>
      <c r="BD7" s="3">
        <f>COUNT(Таблица15[Классификация N 9 лет и мл. ПАРЫ  ])</f>
        <v>1</v>
      </c>
      <c r="BE7" s="3">
        <f>COUNT(Таблица15[Классификация N 9 лет и мл. СОЛО  ])</f>
        <v>9</v>
      </c>
      <c r="BF7" s="3">
        <f>COUNT(Таблица15[9 лет и мл.  Кубок Ча-Ча-Ча ПАРЫ])</f>
        <v>7</v>
      </c>
      <c r="BG7" s="3">
        <f>COUNT(Таблица15[9 лет и мл.  Кубок Ча-Ча-Ча СОЛО])</f>
        <v>11</v>
      </c>
      <c r="BH7" s="3">
        <f>COUNT(Таблица15[9 лет и мл.  Кубок Джайва ПАРЫ])</f>
        <v>3</v>
      </c>
      <c r="BI7" s="3">
        <f>COUNT(Таблица15[9 лет и мл.  Кубок Джайва СОЛО])</f>
        <v>6</v>
      </c>
      <c r="BJ7" s="3">
        <f>COUNT(Таблица15[9 лет и мл.  Кубок Польки ПАРЫ])</f>
        <v>5</v>
      </c>
      <c r="BK7" s="3">
        <f>COUNT(Таблица15[9 лет и мл.  Кубок Польки СОЛО])</f>
        <v>7</v>
      </c>
      <c r="BL7" s="3">
        <f>COUNT(Таблица15[9 лет и мл.  Кубок Квикстепа ПАРЫ])</f>
        <v>2</v>
      </c>
      <c r="BM7" s="3">
        <f>COUNT(Таблица15[9 лет и мл.  Кубок Квикстепа СОЛО])</f>
        <v>3</v>
      </c>
      <c r="BN7" s="3">
        <f>COUNT(Таблица15[9 лет и мл.  Кубок Румбы СОЛО])</f>
        <v>8</v>
      </c>
      <c r="BO7" s="3">
        <f>COUNT(Таблица15[9 лет и мл.  Кубок Самбы СОЛО])</f>
        <v>7</v>
      </c>
      <c r="BP7" s="3">
        <f>COUNT(Таблица15[9 лет и мл.  Кубок Танго СОЛО])</f>
        <v>6</v>
      </c>
      <c r="BQ7" s="3">
        <f>COUNT(Таблица15[9 лет и мл.  Кубок Венского Вальса СОЛО])</f>
        <v>3</v>
      </c>
      <c r="BR7" s="3">
        <f>COUNT(Таблица15[9 лет и мл.  Кубок Вальса ПАРЫ])</f>
        <v>4</v>
      </c>
      <c r="BS7" s="3">
        <f>COUNT(Таблица15[9 лет и мл.  Кубок Вальса СОЛО])</f>
        <v>9</v>
      </c>
      <c r="BT7" s="3">
        <f>COUNT(Таблица15[Dancepride Trophy CH+J 11 лет и мл. ПАРЫ  ])</f>
        <v>3</v>
      </c>
      <c r="BU7" s="3">
        <f>COUNT(Таблица15[Dancepride Trophy CH+J 11 лет и мл. СОЛО  ])</f>
        <v>4</v>
      </c>
      <c r="BV7" s="3">
        <f>COUNT(Таблица15[Dancepride Trophy Cha 10 лет и ст. ПАРЫ  ])</f>
        <v>5</v>
      </c>
      <c r="BW7" s="3">
        <f>COUNT(Таблица15[Dancepride Trophy HH 10 и ст. СОЛО  ])</f>
        <v>1</v>
      </c>
      <c r="BX7" s="3">
        <f>COUNT(Таблица15[Dancepride Trophy J 10 лет и ст. ПАРЫ  ])</f>
        <v>5</v>
      </c>
      <c r="BY7" s="3">
        <f>COUNT(Таблица15[Dancepride Trophy Q 10 лет и ст. ПАРЫ  ])</f>
        <v>5</v>
      </c>
      <c r="BZ7" s="3">
        <f>COUNT(Таблица15[Dancepride Trophy R 10 лет и ст. ПАРЫ  ])</f>
        <v>6</v>
      </c>
      <c r="CA7" s="3">
        <f>COUNT(Таблица15[Dancepride Trophy T 10 лет и ст. ПАРЫ  ])</f>
        <v>4</v>
      </c>
      <c r="CB7" s="3">
        <f>COUNT(Таблица15[Dancepride Trophy W 10 лет и ст. ПАРЫ  ])</f>
        <v>6</v>
      </c>
      <c r="CC7" s="3">
        <f>COUNT(Таблица15[Dancepride Trophy W+Q 11 лет и мл. ПАРЫ  ])</f>
        <v>5</v>
      </c>
      <c r="CD7" s="3">
        <f>COUNT(Таблица15[Dancepride Trophy W+Q 11 лет и мл. СОЛО  ])</f>
        <v>7</v>
      </c>
      <c r="CE7" s="3">
        <f>COUNT(Таблица15[Solo LA CH+R+J 10 лет и ст.  ])</f>
        <v>6</v>
      </c>
      <c r="CF7" s="3">
        <f>COUNT(Таблица15[Зачет на N 10 и ст. ПАРЫ W])</f>
        <v>1</v>
      </c>
      <c r="CG7" s="3">
        <f>COUNT(Таблица15[Зачет на N 10 и ст. ПАРЫ Q])</f>
        <v>1</v>
      </c>
      <c r="CH7" s="3">
        <f>COUNT(Таблица15[Зачет на N 10 и ст. ПАРЫ CH])</f>
        <v>1</v>
      </c>
      <c r="CI7" s="3">
        <f>COUNT(Таблица15[Зачет на N 10 и ст. ПАРЫ J])</f>
        <v>1</v>
      </c>
      <c r="CJ7" s="3">
        <f>COUNT(Таблица15[Зачет на N 10 и ст. Соло W])</f>
        <v>5</v>
      </c>
      <c r="CK7" s="3">
        <f>COUNT(Таблица15[Зачет на N 10 и ст. Соло Q])</f>
        <v>5</v>
      </c>
      <c r="CL7" s="3">
        <f>COUNT(Таблица15[Зачет на N 10 и ст. Соло CH])</f>
        <v>5</v>
      </c>
      <c r="CM7" s="3">
        <f>COUNT(Таблица15[Зачет на N 10 и ст. Соло J])</f>
        <v>5</v>
      </c>
      <c r="CN7" s="3">
        <f>COUNT(Таблица15[Зачет ШБТ 10 и ст. Соло W])</f>
        <v>6</v>
      </c>
      <c r="CO7" s="3">
        <f>COUNT(Таблица15[Зачет ШБТ 10 и ст. Соло CH])</f>
        <v>6</v>
      </c>
      <c r="CP7" s="3">
        <f>COUNT(Таблица15[Зачет ШБТ 10 и ст. Соло PL])</f>
        <v>6</v>
      </c>
      <c r="CQ7" s="3">
        <f>COUNT(Таблица15[Классификация E 11 лет и мл. ПАРЫ  ])</f>
        <v>5</v>
      </c>
      <c r="CR7" s="3">
        <f>COUNT(Таблица15[Классификация E 11 лет и мл. СОЛО  ])</f>
        <v>4</v>
      </c>
      <c r="CS7" s="3">
        <f>COUNT(Таблица15[Классификация E 12 лет и ст. ПАРЫ  ])</f>
        <v>4</v>
      </c>
      <c r="CT7" s="3">
        <f>COUNT(Таблица15[Классификация E 12 лет и ст. СОЛО  ])</f>
        <v>5</v>
      </c>
      <c r="CU7" s="3">
        <f>COUNT(Таблица15[Классификация N 11 лет и мл. ПАРЫ  ])</f>
        <v>2</v>
      </c>
      <c r="CV7" s="3">
        <f>COUNT(Таблица15[Классификация N 11 лет и мл. СОЛО  ])</f>
        <v>6</v>
      </c>
      <c r="CW7" s="3">
        <f>COUNT(Таблица15[Классификация N 12 лет и ст. ПАРЫ  ])</f>
        <v>4</v>
      </c>
      <c r="CX7" s="3">
        <f>COUNT(Таблица15[Классификация N 12 лет и ст. СОЛО  ])</f>
        <v>4</v>
      </c>
      <c r="CY7" s="3">
        <f>COUNT(Таблица15[10 лет и ст.  Кубок Ча-Ча-Ча ПАРЫ])</f>
        <v>1</v>
      </c>
      <c r="CZ7" s="3">
        <f>COUNT(Таблица15[10 лет и ст.  Кубок Ча-Ча-Ча СОЛО])</f>
        <v>9</v>
      </c>
      <c r="DA7" s="3">
        <f>COUNT(Таблица15[10 лет и ст.  Кубок Фокстрота ПАРЫ])</f>
        <v>3</v>
      </c>
      <c r="DB7" s="3">
        <f>COUNT(Таблица15[10 лет и ст.  Кубок Фокстрота СОЛО])</f>
        <v>5</v>
      </c>
      <c r="DC7" s="3">
        <f>COUNT(Таблица15[10 лет и ст.  Кубок Джайва СОЛО])</f>
        <v>2</v>
      </c>
      <c r="DD7" s="3">
        <f>COUNT(Таблица15[10 лет и ст.  Кубок Пасодобля ПАРЫ])</f>
        <v>2</v>
      </c>
      <c r="DE7" s="3">
        <f>COUNT(Таблица15[10 лет и ст.  Кубок Пасодобля СОЛО])</f>
        <v>2</v>
      </c>
      <c r="DF7" s="3">
        <f>COUNT(Таблица15[10 лет и ст.  Кубок Квикстепа СОЛО])</f>
        <v>1</v>
      </c>
      <c r="DG7" s="3">
        <f>COUNT(Таблица15[10 лет и ст.  Кубок Румбы ПАРЫ])</f>
        <v>1</v>
      </c>
      <c r="DH7" s="3">
        <f>COUNT(Таблица15[10 лет и ст.  Кубок Румбы СОЛО])</f>
        <v>5</v>
      </c>
      <c r="DI7" s="3">
        <f>COUNT(Таблица15[10 лет и ст.  Кубок Самбы ПАРЫ])</f>
        <v>2</v>
      </c>
      <c r="DJ7" s="3">
        <f>COUNT(Таблица15[10 лет и ст.  Кубок Самбы СОЛО])</f>
        <v>6</v>
      </c>
      <c r="DK7" s="3">
        <f>COUNT(Таблица15[10 лет и ст.  Кубок Танго СОЛО])</f>
        <v>3</v>
      </c>
      <c r="DL7" s="3">
        <f>COUNT(Таблица15[10 лет и ст.  Кубок Венского Вальса ПАРЫ])</f>
        <v>1</v>
      </c>
      <c r="DM7" s="3">
        <f>COUNT(Таблица15[10 лет и ст.  Кубок Венского Вальса СОЛО])</f>
        <v>3</v>
      </c>
      <c r="DN7" s="3">
        <f>COUNT(Таблица15[10 лет и ст.  Кубок Вальса ПАРЫ])</f>
        <v>1</v>
      </c>
      <c r="DO7" s="3">
        <f>COUNT(Таблица15[10 лет и ст.  Кубок Вальса СОЛО])</f>
        <v>8</v>
      </c>
    </row>
    <row r="8" spans="1:120" ht="217.5" customHeight="1" x14ac:dyDescent="0.25">
      <c r="A8" s="16" t="s">
        <v>0</v>
      </c>
      <c r="B8" s="17" t="s">
        <v>1</v>
      </c>
      <c r="C8" s="17" t="s">
        <v>2</v>
      </c>
      <c r="D8" s="17" t="s">
        <v>3</v>
      </c>
      <c r="E8" s="18" t="s">
        <v>16</v>
      </c>
      <c r="F8" s="18" t="s">
        <v>112</v>
      </c>
      <c r="G8" s="18" t="s">
        <v>113</v>
      </c>
      <c r="H8" s="18" t="s">
        <v>117</v>
      </c>
      <c r="I8" s="18" t="s">
        <v>118</v>
      </c>
      <c r="J8" s="18" t="s">
        <v>119</v>
      </c>
      <c r="K8" s="18" t="s">
        <v>120</v>
      </c>
      <c r="L8" s="18" t="s">
        <v>121</v>
      </c>
      <c r="M8" s="18" t="s">
        <v>122</v>
      </c>
      <c r="N8" s="18" t="s">
        <v>123</v>
      </c>
      <c r="O8" s="30" t="s">
        <v>124</v>
      </c>
      <c r="P8" s="30" t="s">
        <v>125</v>
      </c>
      <c r="Q8" s="30" t="s">
        <v>126</v>
      </c>
      <c r="R8" s="33" t="s">
        <v>50</v>
      </c>
      <c r="S8" s="33" t="s">
        <v>60</v>
      </c>
      <c r="T8" s="33" t="s">
        <v>64</v>
      </c>
      <c r="U8" s="33" t="s">
        <v>61</v>
      </c>
      <c r="V8" s="34" t="s">
        <v>67</v>
      </c>
      <c r="W8" s="33" t="s">
        <v>72</v>
      </c>
      <c r="X8" s="33" t="s">
        <v>76</v>
      </c>
      <c r="Y8" s="33" t="s">
        <v>74</v>
      </c>
      <c r="Z8" s="33" t="s">
        <v>140</v>
      </c>
      <c r="AA8" s="34" t="s">
        <v>85</v>
      </c>
      <c r="AB8" s="34" t="s">
        <v>143</v>
      </c>
      <c r="AC8" s="34" t="s">
        <v>87</v>
      </c>
      <c r="AD8" s="30" t="s">
        <v>144</v>
      </c>
      <c r="AE8" s="30" t="s">
        <v>145</v>
      </c>
      <c r="AF8" s="30" t="s">
        <v>147</v>
      </c>
      <c r="AG8" s="30" t="s">
        <v>148</v>
      </c>
      <c r="AH8" s="30" t="s">
        <v>149</v>
      </c>
      <c r="AI8" s="30" t="s">
        <v>151</v>
      </c>
      <c r="AJ8" s="30" t="s">
        <v>152</v>
      </c>
      <c r="AK8" s="30" t="s">
        <v>153</v>
      </c>
      <c r="AL8" s="30" t="s">
        <v>156</v>
      </c>
      <c r="AM8" s="30" t="s">
        <v>157</v>
      </c>
      <c r="AN8" s="30" t="s">
        <v>158</v>
      </c>
      <c r="AO8" s="30" t="s">
        <v>159</v>
      </c>
      <c r="AP8" s="30" t="s">
        <v>160</v>
      </c>
      <c r="AQ8" s="30" t="s">
        <v>161</v>
      </c>
      <c r="AR8" s="30" t="s">
        <v>163</v>
      </c>
      <c r="AS8" s="30" t="s">
        <v>164</v>
      </c>
      <c r="AT8" s="30" t="s">
        <v>165</v>
      </c>
      <c r="AU8" s="30" t="s">
        <v>166</v>
      </c>
      <c r="AV8" s="30" t="s">
        <v>167</v>
      </c>
      <c r="AW8" s="30" t="s">
        <v>168</v>
      </c>
      <c r="AX8" s="30" t="s">
        <v>169</v>
      </c>
      <c r="AY8" s="30" t="s">
        <v>171</v>
      </c>
      <c r="AZ8" s="30" t="s">
        <v>172</v>
      </c>
      <c r="BA8" s="30" t="s">
        <v>173</v>
      </c>
      <c r="BB8" s="34" t="s">
        <v>43</v>
      </c>
      <c r="BC8" s="34" t="s">
        <v>44</v>
      </c>
      <c r="BD8" s="30" t="s">
        <v>51</v>
      </c>
      <c r="BE8" s="34" t="s">
        <v>52</v>
      </c>
      <c r="BF8" s="34" t="s">
        <v>59</v>
      </c>
      <c r="BG8" s="34" t="s">
        <v>63</v>
      </c>
      <c r="BH8" s="34" t="s">
        <v>178</v>
      </c>
      <c r="BI8" s="34" t="s">
        <v>68</v>
      </c>
      <c r="BJ8" s="34" t="s">
        <v>71</v>
      </c>
      <c r="BK8" s="34" t="s">
        <v>75</v>
      </c>
      <c r="BL8" s="34" t="s">
        <v>180</v>
      </c>
      <c r="BM8" s="34" t="s">
        <v>141</v>
      </c>
      <c r="BN8" s="34" t="s">
        <v>77</v>
      </c>
      <c r="BO8" s="34" t="s">
        <v>80</v>
      </c>
      <c r="BP8" s="34" t="s">
        <v>82</v>
      </c>
      <c r="BQ8" s="34" t="s">
        <v>181</v>
      </c>
      <c r="BR8" s="34" t="s">
        <v>84</v>
      </c>
      <c r="BS8" s="34" t="s">
        <v>89</v>
      </c>
      <c r="BT8" s="30" t="s">
        <v>182</v>
      </c>
      <c r="BU8" s="30" t="s">
        <v>183</v>
      </c>
      <c r="BV8" s="30" t="s">
        <v>185</v>
      </c>
      <c r="BW8" s="31" t="s">
        <v>186</v>
      </c>
      <c r="BX8" s="41" t="s">
        <v>17</v>
      </c>
      <c r="BY8" s="41" t="s">
        <v>21</v>
      </c>
      <c r="BZ8" s="41" t="s">
        <v>187</v>
      </c>
      <c r="CA8" s="41" t="s">
        <v>188</v>
      </c>
      <c r="CB8" s="43" t="s">
        <v>22</v>
      </c>
      <c r="CC8" s="30" t="s">
        <v>189</v>
      </c>
      <c r="CD8" s="30" t="s">
        <v>190</v>
      </c>
      <c r="CE8" s="34" t="s">
        <v>191</v>
      </c>
      <c r="CF8" s="30" t="s">
        <v>192</v>
      </c>
      <c r="CG8" s="30" t="s">
        <v>193</v>
      </c>
      <c r="CH8" s="30" t="s">
        <v>194</v>
      </c>
      <c r="CI8" s="30" t="s">
        <v>195</v>
      </c>
      <c r="CJ8" s="30" t="s">
        <v>196</v>
      </c>
      <c r="CK8" s="30" t="s">
        <v>197</v>
      </c>
      <c r="CL8" s="30" t="s">
        <v>198</v>
      </c>
      <c r="CM8" s="30" t="s">
        <v>199</v>
      </c>
      <c r="CN8" s="30" t="s">
        <v>200</v>
      </c>
      <c r="CO8" s="30" t="s">
        <v>201</v>
      </c>
      <c r="CP8" s="30" t="s">
        <v>202</v>
      </c>
      <c r="CQ8" s="34" t="s">
        <v>45</v>
      </c>
      <c r="CR8" s="34" t="s">
        <v>47</v>
      </c>
      <c r="CS8" s="34" t="s">
        <v>48</v>
      </c>
      <c r="CT8" s="34" t="s">
        <v>49</v>
      </c>
      <c r="CU8" s="34" t="s">
        <v>54</v>
      </c>
      <c r="CV8" s="34" t="s">
        <v>55</v>
      </c>
      <c r="CW8" s="34" t="s">
        <v>56</v>
      </c>
      <c r="CX8" s="34" t="s">
        <v>58</v>
      </c>
      <c r="CY8" s="30" t="s">
        <v>65</v>
      </c>
      <c r="CZ8" s="34" t="s">
        <v>66</v>
      </c>
      <c r="DA8" s="34" t="s">
        <v>206</v>
      </c>
      <c r="DB8" s="34" t="s">
        <v>207</v>
      </c>
      <c r="DC8" s="34" t="s">
        <v>70</v>
      </c>
      <c r="DD8" s="34" t="s">
        <v>208</v>
      </c>
      <c r="DE8" s="34" t="s">
        <v>209</v>
      </c>
      <c r="DF8" s="30" t="s">
        <v>210</v>
      </c>
      <c r="DG8" s="30" t="s">
        <v>78</v>
      </c>
      <c r="DH8" s="34" t="s">
        <v>79</v>
      </c>
      <c r="DI8" s="34" t="s">
        <v>211</v>
      </c>
      <c r="DJ8" s="34" t="s">
        <v>81</v>
      </c>
      <c r="DK8" s="34" t="s">
        <v>83</v>
      </c>
      <c r="DL8" s="30" t="s">
        <v>212</v>
      </c>
      <c r="DM8" s="34" t="s">
        <v>213</v>
      </c>
      <c r="DN8" s="30" t="s">
        <v>214</v>
      </c>
      <c r="DO8" s="34" t="s">
        <v>91</v>
      </c>
      <c r="DP8" s="30" t="s">
        <v>247</v>
      </c>
    </row>
    <row r="9" spans="1:120" ht="15.75" hidden="1" customHeight="1" x14ac:dyDescent="0.25">
      <c r="A9" s="35">
        <v>89</v>
      </c>
      <c r="B9" s="36" t="s">
        <v>285</v>
      </c>
      <c r="C9" s="36" t="s">
        <v>32</v>
      </c>
      <c r="D9" s="36" t="s">
        <v>146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49"/>
      <c r="DJ9" s="50"/>
      <c r="DK9" s="50"/>
      <c r="DL9" s="50"/>
      <c r="DM9" s="50"/>
      <c r="DN9" s="50"/>
      <c r="DO9" s="50">
        <v>2</v>
      </c>
      <c r="DP9" s="60">
        <v>2</v>
      </c>
    </row>
    <row r="10" spans="1:120" ht="15.75" hidden="1" customHeight="1" x14ac:dyDescent="0.25">
      <c r="A10" s="35">
        <v>91</v>
      </c>
      <c r="B10" s="36" t="s">
        <v>328</v>
      </c>
      <c r="C10" s="36" t="s">
        <v>32</v>
      </c>
      <c r="D10" s="36" t="s">
        <v>146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49"/>
      <c r="DJ10" s="49"/>
      <c r="DK10" s="49"/>
      <c r="DL10" s="49"/>
      <c r="DM10" s="49"/>
      <c r="DN10" s="49"/>
      <c r="DO10" s="49">
        <v>6</v>
      </c>
      <c r="DP10" s="55">
        <v>1</v>
      </c>
    </row>
    <row r="11" spans="1:120" hidden="1" x14ac:dyDescent="0.25">
      <c r="A11" s="35">
        <v>109</v>
      </c>
      <c r="B11" s="36" t="s">
        <v>260</v>
      </c>
      <c r="C11" s="2" t="s">
        <v>30</v>
      </c>
      <c r="D11" s="36" t="s">
        <v>12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49"/>
      <c r="DJ11" s="49"/>
      <c r="DK11" s="49"/>
      <c r="DL11" s="49"/>
      <c r="DM11" s="49">
        <v>3</v>
      </c>
      <c r="DN11" s="49"/>
      <c r="DO11" s="49"/>
      <c r="DP11" s="55">
        <v>2</v>
      </c>
    </row>
    <row r="12" spans="1:120" hidden="1" x14ac:dyDescent="0.25">
      <c r="A12" s="35">
        <v>121</v>
      </c>
      <c r="B12" s="36" t="s">
        <v>235</v>
      </c>
      <c r="C12" s="36" t="s">
        <v>37</v>
      </c>
      <c r="D12" s="36" t="s">
        <v>18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49"/>
      <c r="DJ12" s="49"/>
      <c r="DK12" s="49"/>
      <c r="DL12" s="49">
        <v>1</v>
      </c>
      <c r="DM12" s="49"/>
      <c r="DN12" s="49"/>
      <c r="DO12" s="49"/>
      <c r="DP12" s="55">
        <v>6</v>
      </c>
    </row>
    <row r="13" spans="1:120" hidden="1" x14ac:dyDescent="0.25">
      <c r="A13" s="35">
        <v>119</v>
      </c>
      <c r="B13" s="36" t="s">
        <v>314</v>
      </c>
      <c r="C13" s="36" t="s">
        <v>32</v>
      </c>
      <c r="D13" s="36" t="s">
        <v>146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49"/>
      <c r="DJ13" s="49">
        <v>3</v>
      </c>
      <c r="DK13" s="49"/>
      <c r="DL13" s="49"/>
      <c r="DM13" s="49"/>
      <c r="DN13" s="49"/>
      <c r="DO13" s="49"/>
      <c r="DP13" s="55">
        <v>2</v>
      </c>
    </row>
    <row r="14" spans="1:120" hidden="1" x14ac:dyDescent="0.25">
      <c r="A14" s="35">
        <v>117</v>
      </c>
      <c r="B14" s="36" t="s">
        <v>294</v>
      </c>
      <c r="C14" s="36" t="s">
        <v>23</v>
      </c>
      <c r="D14" s="36" t="s">
        <v>53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49"/>
      <c r="DJ14" s="49">
        <v>5</v>
      </c>
      <c r="DK14" s="49"/>
      <c r="DL14" s="49"/>
      <c r="DM14" s="49"/>
      <c r="DN14" s="49"/>
      <c r="DO14" s="49"/>
      <c r="DP14" s="55">
        <v>1</v>
      </c>
    </row>
    <row r="15" spans="1:120" x14ac:dyDescent="0.25">
      <c r="A15" s="35">
        <v>285</v>
      </c>
      <c r="B15" s="36" t="s">
        <v>305</v>
      </c>
      <c r="C15" s="36" t="s">
        <v>249</v>
      </c>
      <c r="D15" s="36" t="s">
        <v>184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49"/>
      <c r="DJ15" s="49">
        <v>6</v>
      </c>
      <c r="DK15" s="49"/>
      <c r="DL15" s="49"/>
      <c r="DM15" s="49"/>
      <c r="DN15" s="49"/>
      <c r="DO15" s="49"/>
      <c r="DP15" s="55">
        <v>1</v>
      </c>
    </row>
    <row r="16" spans="1:120" hidden="1" x14ac:dyDescent="0.25">
      <c r="A16" s="35">
        <v>121</v>
      </c>
      <c r="B16" s="36" t="s">
        <v>235</v>
      </c>
      <c r="C16" s="36" t="s">
        <v>37</v>
      </c>
      <c r="D16" s="36" t="s">
        <v>18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>
        <v>1</v>
      </c>
      <c r="DE16" s="36"/>
      <c r="DF16" s="36"/>
      <c r="DG16" s="36"/>
      <c r="DH16" s="36"/>
      <c r="DI16" s="49"/>
      <c r="DJ16" s="49"/>
      <c r="DK16" s="49"/>
      <c r="DL16" s="49"/>
      <c r="DM16" s="49"/>
      <c r="DN16" s="49"/>
      <c r="DO16" s="49"/>
      <c r="DP16" s="55">
        <v>6</v>
      </c>
    </row>
    <row r="17" spans="1:120" hidden="1" x14ac:dyDescent="0.25">
      <c r="A17" s="35">
        <v>87</v>
      </c>
      <c r="B17" s="36" t="s">
        <v>255</v>
      </c>
      <c r="C17" s="36" t="s">
        <v>28</v>
      </c>
      <c r="D17" s="36" t="s">
        <v>29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>
        <v>9</v>
      </c>
      <c r="CK17" s="36">
        <v>8.4</v>
      </c>
      <c r="CL17" s="36">
        <v>9</v>
      </c>
      <c r="CM17" s="36">
        <v>8.1999999999999993</v>
      </c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49"/>
      <c r="DJ17" s="49"/>
      <c r="DK17" s="49"/>
      <c r="DL17" s="49"/>
      <c r="DM17" s="49"/>
      <c r="DN17" s="49"/>
      <c r="DO17" s="49"/>
      <c r="DP17" s="55">
        <v>0</v>
      </c>
    </row>
    <row r="18" spans="1:120" hidden="1" x14ac:dyDescent="0.25">
      <c r="A18" s="35">
        <v>87</v>
      </c>
      <c r="B18" s="36" t="s">
        <v>255</v>
      </c>
      <c r="C18" s="36" t="s">
        <v>28</v>
      </c>
      <c r="D18" s="36" t="s">
        <v>29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>
        <v>9.1999999999999993</v>
      </c>
      <c r="CO18" s="36">
        <v>9.1999999999999993</v>
      </c>
      <c r="CP18" s="36">
        <v>9.1999999999999993</v>
      </c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49"/>
      <c r="DJ18" s="49"/>
      <c r="DK18" s="49"/>
      <c r="DL18" s="49"/>
      <c r="DM18" s="49"/>
      <c r="DN18" s="49"/>
      <c r="DO18" s="49"/>
      <c r="DP18" s="55">
        <v>0</v>
      </c>
    </row>
    <row r="19" spans="1:120" hidden="1" x14ac:dyDescent="0.25">
      <c r="A19" s="10">
        <v>40</v>
      </c>
      <c r="B19" s="2" t="s">
        <v>257</v>
      </c>
      <c r="C19" s="2" t="s">
        <v>28</v>
      </c>
      <c r="D19" s="2" t="s">
        <v>29</v>
      </c>
      <c r="E19" s="2"/>
      <c r="F19" s="2"/>
      <c r="G19" s="2"/>
      <c r="H19" s="2">
        <v>9.1999999999999993</v>
      </c>
      <c r="I19" s="2">
        <v>9.1999999999999993</v>
      </c>
      <c r="J19" s="2">
        <v>9.1999999999999993</v>
      </c>
      <c r="K19" s="2">
        <v>9.4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9"/>
      <c r="DJ19" s="9"/>
      <c r="DK19" s="9"/>
      <c r="DL19" s="9"/>
      <c r="DM19" s="9"/>
      <c r="DN19" s="9"/>
      <c r="DO19" s="9"/>
      <c r="DP19" s="55">
        <v>0</v>
      </c>
    </row>
    <row r="20" spans="1:120" hidden="1" x14ac:dyDescent="0.25">
      <c r="A20" s="10">
        <v>26</v>
      </c>
      <c r="B20" s="2" t="s">
        <v>262</v>
      </c>
      <c r="C20" s="2" t="s">
        <v>28</v>
      </c>
      <c r="D20" s="2" t="s">
        <v>29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8.4</v>
      </c>
      <c r="P20" s="2">
        <v>8.4</v>
      </c>
      <c r="Q20" s="2">
        <v>8.6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9"/>
      <c r="DJ20" s="9"/>
      <c r="DK20" s="9"/>
      <c r="DL20" s="9"/>
      <c r="DM20" s="9"/>
      <c r="DN20" s="9"/>
      <c r="DO20" s="9"/>
      <c r="DP20" s="55">
        <v>0</v>
      </c>
    </row>
    <row r="21" spans="1:120" hidden="1" x14ac:dyDescent="0.25">
      <c r="A21" s="10">
        <v>31</v>
      </c>
      <c r="B21" s="2" t="s">
        <v>267</v>
      </c>
      <c r="C21" s="2" t="s">
        <v>28</v>
      </c>
      <c r="D21" s="2" t="s">
        <v>29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9.1999999999999993</v>
      </c>
      <c r="P21" s="2">
        <v>8.8000000000000007</v>
      </c>
      <c r="Q21" s="2">
        <v>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"/>
      <c r="AH21" s="1"/>
      <c r="AI21" s="1"/>
      <c r="AJ21" s="1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9"/>
      <c r="DJ21" s="9"/>
      <c r="DK21" s="9"/>
      <c r="DL21" s="9"/>
      <c r="DM21" s="9"/>
      <c r="DN21" s="9"/>
      <c r="DO21" s="9"/>
      <c r="DP21" s="55">
        <v>0</v>
      </c>
    </row>
    <row r="22" spans="1:120" hidden="1" x14ac:dyDescent="0.25">
      <c r="A22" s="35">
        <v>94</v>
      </c>
      <c r="B22" s="36" t="s">
        <v>268</v>
      </c>
      <c r="C22" s="36" t="s">
        <v>28</v>
      </c>
      <c r="D22" s="36" t="s">
        <v>29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>
        <v>9</v>
      </c>
      <c r="CK22" s="36">
        <v>8</v>
      </c>
      <c r="CL22" s="36">
        <v>9</v>
      </c>
      <c r="CM22" s="36">
        <v>8</v>
      </c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49"/>
      <c r="DJ22" s="49"/>
      <c r="DK22" s="49"/>
      <c r="DL22" s="49"/>
      <c r="DM22" s="49"/>
      <c r="DN22" s="49"/>
      <c r="DO22" s="49"/>
      <c r="DP22" s="55">
        <v>0</v>
      </c>
    </row>
    <row r="23" spans="1:120" hidden="1" x14ac:dyDescent="0.25">
      <c r="A23" s="35">
        <v>94</v>
      </c>
      <c r="B23" s="36" t="s">
        <v>268</v>
      </c>
      <c r="C23" s="36" t="s">
        <v>28</v>
      </c>
      <c r="D23" s="36" t="s">
        <v>29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>
        <v>9</v>
      </c>
      <c r="CO23" s="36">
        <v>9.1999999999999993</v>
      </c>
      <c r="CP23" s="36">
        <v>9</v>
      </c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49"/>
      <c r="DJ23" s="49"/>
      <c r="DK23" s="49"/>
      <c r="DL23" s="49"/>
      <c r="DM23" s="49"/>
      <c r="DN23" s="49"/>
      <c r="DO23" s="49"/>
      <c r="DP23" s="55">
        <v>0</v>
      </c>
    </row>
    <row r="24" spans="1:120" hidden="1" x14ac:dyDescent="0.25">
      <c r="A24" s="35">
        <v>284</v>
      </c>
      <c r="B24" s="36" t="s">
        <v>275</v>
      </c>
      <c r="C24" s="36" t="s">
        <v>28</v>
      </c>
      <c r="D24" s="36" t="s">
        <v>29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>
        <v>8</v>
      </c>
      <c r="CO24" s="36">
        <v>8</v>
      </c>
      <c r="CP24" s="36">
        <v>8.8000000000000007</v>
      </c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49"/>
      <c r="DJ24" s="49"/>
      <c r="DK24" s="49"/>
      <c r="DL24" s="49"/>
      <c r="DM24" s="49"/>
      <c r="DN24" s="49"/>
      <c r="DO24" s="49"/>
      <c r="DP24" s="55">
        <v>0</v>
      </c>
    </row>
    <row r="25" spans="1:120" hidden="1" x14ac:dyDescent="0.25">
      <c r="A25" s="35">
        <v>95</v>
      </c>
      <c r="B25" s="36" t="s">
        <v>278</v>
      </c>
      <c r="C25" s="36" t="s">
        <v>28</v>
      </c>
      <c r="D25" s="36" t="s">
        <v>29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>
        <v>9.1999999999999993</v>
      </c>
      <c r="CK25" s="36">
        <v>9</v>
      </c>
      <c r="CL25" s="36">
        <v>9.1999999999999993</v>
      </c>
      <c r="CM25" s="36">
        <v>8.4</v>
      </c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49"/>
      <c r="DJ25" s="49"/>
      <c r="DK25" s="49"/>
      <c r="DL25" s="49"/>
      <c r="DM25" s="49"/>
      <c r="DN25" s="49"/>
      <c r="DO25" s="49"/>
      <c r="DP25" s="55">
        <v>0</v>
      </c>
    </row>
    <row r="26" spans="1:120" hidden="1" x14ac:dyDescent="0.25">
      <c r="A26" s="35">
        <v>61</v>
      </c>
      <c r="B26" s="36" t="s">
        <v>223</v>
      </c>
      <c r="C26" s="36" t="s">
        <v>28</v>
      </c>
      <c r="D26" s="36" t="s">
        <v>29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>
        <v>8.8000000000000007</v>
      </c>
      <c r="AO26" s="36">
        <v>8.4</v>
      </c>
      <c r="AP26" s="36">
        <v>9</v>
      </c>
      <c r="AQ26" s="36">
        <v>8.6</v>
      </c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49"/>
      <c r="DJ26" s="49"/>
      <c r="DK26" s="49"/>
      <c r="DL26" s="49"/>
      <c r="DM26" s="49"/>
      <c r="DN26" s="49"/>
      <c r="DO26" s="49"/>
      <c r="DP26" s="55">
        <v>0</v>
      </c>
    </row>
    <row r="27" spans="1:120" hidden="1" x14ac:dyDescent="0.25">
      <c r="A27" s="35">
        <v>61</v>
      </c>
      <c r="B27" s="36" t="s">
        <v>223</v>
      </c>
      <c r="C27" s="36" t="s">
        <v>28</v>
      </c>
      <c r="D27" s="36" t="s">
        <v>29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>
        <v>9</v>
      </c>
      <c r="AW27" s="36">
        <v>9</v>
      </c>
      <c r="AX27" s="36">
        <v>9.4</v>
      </c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49"/>
      <c r="DJ27" s="49"/>
      <c r="DK27" s="49"/>
      <c r="DL27" s="49"/>
      <c r="DM27" s="49"/>
      <c r="DN27" s="49"/>
      <c r="DO27" s="49"/>
      <c r="DP27" s="55">
        <v>0</v>
      </c>
    </row>
    <row r="28" spans="1:120" hidden="1" x14ac:dyDescent="0.25">
      <c r="A28" s="10">
        <v>7</v>
      </c>
      <c r="B28" s="2" t="s">
        <v>286</v>
      </c>
      <c r="C28" s="2" t="s">
        <v>28</v>
      </c>
      <c r="D28" s="2" t="s">
        <v>29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8.4</v>
      </c>
      <c r="P28" s="2">
        <v>8.1999999999999993</v>
      </c>
      <c r="Q28" s="2">
        <v>8.6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9"/>
      <c r="DJ28" s="9"/>
      <c r="DK28" s="9"/>
      <c r="DL28" s="9"/>
      <c r="DM28" s="9"/>
      <c r="DN28" s="9"/>
      <c r="DO28" s="9"/>
      <c r="DP28" s="55">
        <v>0</v>
      </c>
    </row>
    <row r="29" spans="1:120" hidden="1" x14ac:dyDescent="0.25">
      <c r="A29" s="35">
        <v>79</v>
      </c>
      <c r="B29" s="36" t="s">
        <v>287</v>
      </c>
      <c r="C29" s="36" t="s">
        <v>28</v>
      </c>
      <c r="D29" s="36" t="s">
        <v>42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>
        <v>8.6</v>
      </c>
      <c r="AS29" s="36">
        <v>0</v>
      </c>
      <c r="AT29" s="36">
        <v>8.8000000000000007</v>
      </c>
      <c r="AU29" s="36">
        <v>8.6</v>
      </c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49"/>
      <c r="DJ29" s="49"/>
      <c r="DK29" s="49"/>
      <c r="DL29" s="49"/>
      <c r="DM29" s="49"/>
      <c r="DN29" s="49"/>
      <c r="DO29" s="49"/>
      <c r="DP29" s="55">
        <v>0</v>
      </c>
    </row>
    <row r="30" spans="1:120" hidden="1" x14ac:dyDescent="0.25">
      <c r="A30" s="35">
        <v>79</v>
      </c>
      <c r="B30" s="36" t="s">
        <v>287</v>
      </c>
      <c r="C30" s="36" t="s">
        <v>28</v>
      </c>
      <c r="D30" s="36" t="s">
        <v>42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>
        <v>9.1999999999999993</v>
      </c>
      <c r="AZ30" s="36">
        <v>8.8000000000000007</v>
      </c>
      <c r="BA30" s="36">
        <v>9.4</v>
      </c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49"/>
      <c r="DJ30" s="49"/>
      <c r="DK30" s="49"/>
      <c r="DL30" s="49"/>
      <c r="DM30" s="49"/>
      <c r="DN30" s="49"/>
      <c r="DO30" s="49"/>
      <c r="DP30" s="55">
        <v>0</v>
      </c>
    </row>
    <row r="31" spans="1:120" hidden="1" x14ac:dyDescent="0.25">
      <c r="A31" s="35">
        <v>53</v>
      </c>
      <c r="B31" s="36" t="s">
        <v>289</v>
      </c>
      <c r="C31" s="36" t="s">
        <v>28</v>
      </c>
      <c r="D31" s="36" t="s">
        <v>42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>
        <v>8.6</v>
      </c>
      <c r="AZ31" s="36">
        <v>9.4</v>
      </c>
      <c r="BA31" s="36">
        <v>9.6</v>
      </c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49"/>
      <c r="DJ31" s="49"/>
      <c r="DK31" s="49"/>
      <c r="DL31" s="49"/>
      <c r="DM31" s="49"/>
      <c r="DN31" s="49"/>
      <c r="DO31" s="49"/>
      <c r="DP31" s="55">
        <v>0</v>
      </c>
    </row>
    <row r="32" spans="1:120" hidden="1" x14ac:dyDescent="0.25">
      <c r="A32" s="10">
        <v>9</v>
      </c>
      <c r="B32" s="2" t="s">
        <v>290</v>
      </c>
      <c r="C32" s="2" t="s">
        <v>28</v>
      </c>
      <c r="D32" s="2" t="s">
        <v>29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>
        <v>8.4</v>
      </c>
      <c r="P32" s="2">
        <v>8.4</v>
      </c>
      <c r="Q32" s="2">
        <v>8.4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9"/>
      <c r="DJ32" s="9"/>
      <c r="DK32" s="9"/>
      <c r="DL32" s="9"/>
      <c r="DM32" s="9"/>
      <c r="DN32" s="9"/>
      <c r="DO32" s="9"/>
      <c r="DP32" s="55">
        <v>0</v>
      </c>
    </row>
    <row r="33" spans="1:120" hidden="1" x14ac:dyDescent="0.25">
      <c r="A33" s="10">
        <v>10</v>
      </c>
      <c r="B33" s="2" t="s">
        <v>291</v>
      </c>
      <c r="C33" s="2" t="s">
        <v>28</v>
      </c>
      <c r="D33" s="2" t="s">
        <v>29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8.1999999999999993</v>
      </c>
      <c r="P33" s="2">
        <v>8.4</v>
      </c>
      <c r="Q33" s="2">
        <v>8.6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9"/>
      <c r="DJ33" s="9"/>
      <c r="DK33" s="9"/>
      <c r="DL33" s="9"/>
      <c r="DM33" s="9"/>
      <c r="DN33" s="9"/>
      <c r="DO33" s="9"/>
      <c r="DP33" s="55">
        <v>0</v>
      </c>
    </row>
    <row r="34" spans="1:120" hidden="1" x14ac:dyDescent="0.25">
      <c r="A34" s="35">
        <v>50</v>
      </c>
      <c r="B34" s="36" t="s">
        <v>292</v>
      </c>
      <c r="C34" s="36" t="s">
        <v>28</v>
      </c>
      <c r="D34" s="36" t="s">
        <v>29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>
        <v>9</v>
      </c>
      <c r="AM34" s="36">
        <v>9</v>
      </c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49"/>
      <c r="DJ34" s="49"/>
      <c r="DK34" s="49"/>
      <c r="DL34" s="49"/>
      <c r="DM34" s="49"/>
      <c r="DN34" s="49"/>
      <c r="DO34" s="49"/>
      <c r="DP34" s="55">
        <v>0</v>
      </c>
    </row>
    <row r="35" spans="1:120" hidden="1" x14ac:dyDescent="0.25">
      <c r="A35" s="35">
        <v>71</v>
      </c>
      <c r="B35" s="36" t="s">
        <v>293</v>
      </c>
      <c r="C35" s="36" t="s">
        <v>28</v>
      </c>
      <c r="D35" s="36" t="s">
        <v>29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>
        <v>8.8000000000000007</v>
      </c>
      <c r="AS35" s="36">
        <v>8.4</v>
      </c>
      <c r="AT35" s="36">
        <v>8.6</v>
      </c>
      <c r="AU35" s="36">
        <v>8.4</v>
      </c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49"/>
      <c r="DJ35" s="49"/>
      <c r="DK35" s="49"/>
      <c r="DL35" s="49"/>
      <c r="DM35" s="49"/>
      <c r="DN35" s="49"/>
      <c r="DO35" s="49"/>
      <c r="DP35" s="55">
        <v>0</v>
      </c>
    </row>
    <row r="36" spans="1:120" hidden="1" x14ac:dyDescent="0.25">
      <c r="A36" s="35">
        <v>71</v>
      </c>
      <c r="B36" s="36" t="s">
        <v>293</v>
      </c>
      <c r="C36" s="36" t="s">
        <v>28</v>
      </c>
      <c r="D36" s="36" t="s">
        <v>29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>
        <v>8.8000000000000007</v>
      </c>
      <c r="AZ36" s="36">
        <v>9</v>
      </c>
      <c r="BA36" s="36">
        <v>9.6</v>
      </c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49"/>
      <c r="DJ36" s="49"/>
      <c r="DK36" s="49"/>
      <c r="DL36" s="49"/>
      <c r="DM36" s="49"/>
      <c r="DN36" s="49"/>
      <c r="DO36" s="49"/>
      <c r="DP36" s="55">
        <v>0</v>
      </c>
    </row>
    <row r="37" spans="1:120" hidden="1" x14ac:dyDescent="0.25">
      <c r="A37" s="35">
        <v>66</v>
      </c>
      <c r="B37" s="36" t="s">
        <v>298</v>
      </c>
      <c r="C37" s="36" t="s">
        <v>28</v>
      </c>
      <c r="D37" s="36" t="s">
        <v>29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>
        <v>9.1999999999999993</v>
      </c>
      <c r="AM37" s="36">
        <v>9.4</v>
      </c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49"/>
      <c r="DJ37" s="49"/>
      <c r="DK37" s="49"/>
      <c r="DL37" s="49"/>
      <c r="DM37" s="49"/>
      <c r="DN37" s="49"/>
      <c r="DO37" s="49"/>
      <c r="DP37" s="55">
        <v>0</v>
      </c>
    </row>
    <row r="38" spans="1:120" hidden="1" x14ac:dyDescent="0.25">
      <c r="A38" s="35">
        <v>67</v>
      </c>
      <c r="B38" s="36" t="s">
        <v>224</v>
      </c>
      <c r="C38" s="36" t="s">
        <v>28</v>
      </c>
      <c r="D38" s="36" t="s">
        <v>29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>
        <v>8.4</v>
      </c>
      <c r="AW38" s="36">
        <v>8.8000000000000007</v>
      </c>
      <c r="AX38" s="36">
        <v>9</v>
      </c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49"/>
      <c r="DJ38" s="49"/>
      <c r="DK38" s="49"/>
      <c r="DL38" s="49"/>
      <c r="DM38" s="49"/>
      <c r="DN38" s="49"/>
      <c r="DO38" s="49"/>
      <c r="DP38" s="55">
        <v>0</v>
      </c>
    </row>
    <row r="39" spans="1:120" hidden="1" x14ac:dyDescent="0.25">
      <c r="A39" s="10">
        <v>39</v>
      </c>
      <c r="B39" s="2" t="s">
        <v>306</v>
      </c>
      <c r="C39" s="2" t="s">
        <v>28</v>
      </c>
      <c r="D39" s="2" t="s">
        <v>29</v>
      </c>
      <c r="E39" s="8"/>
      <c r="F39" s="2"/>
      <c r="G39" s="2"/>
      <c r="H39" s="2">
        <v>8.6</v>
      </c>
      <c r="I39" s="2">
        <v>8.4</v>
      </c>
      <c r="J39" s="2">
        <v>9.6</v>
      </c>
      <c r="K39" s="2">
        <v>8.6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13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9"/>
      <c r="DJ39" s="9"/>
      <c r="DK39" s="9"/>
      <c r="DL39" s="9"/>
      <c r="DM39" s="9"/>
      <c r="DN39" s="9"/>
      <c r="DO39" s="9"/>
      <c r="DP39" s="55">
        <v>0</v>
      </c>
    </row>
    <row r="40" spans="1:120" hidden="1" x14ac:dyDescent="0.25">
      <c r="A40" s="10">
        <v>39</v>
      </c>
      <c r="B40" s="2" t="s">
        <v>306</v>
      </c>
      <c r="C40" s="2" t="s">
        <v>28</v>
      </c>
      <c r="D40" s="2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v>9.8000000000000007</v>
      </c>
      <c r="P40" s="2">
        <v>10</v>
      </c>
      <c r="Q40" s="2">
        <v>9.8000000000000007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9"/>
      <c r="DJ40" s="9"/>
      <c r="DK40" s="9"/>
      <c r="DL40" s="9"/>
      <c r="DM40" s="9"/>
      <c r="DN40" s="9"/>
      <c r="DO40" s="9"/>
      <c r="DP40" s="55">
        <v>0</v>
      </c>
    </row>
    <row r="41" spans="1:120" hidden="1" x14ac:dyDescent="0.25">
      <c r="A41" s="10">
        <v>8</v>
      </c>
      <c r="B41" s="2" t="s">
        <v>312</v>
      </c>
      <c r="C41" s="2" t="s">
        <v>28</v>
      </c>
      <c r="D41" s="2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v>8.6</v>
      </c>
      <c r="P41" s="2">
        <v>9.1999999999999993</v>
      </c>
      <c r="Q41" s="2">
        <v>8.8000000000000007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9"/>
      <c r="DJ41" s="9"/>
      <c r="DK41" s="9"/>
      <c r="DL41" s="9"/>
      <c r="DM41" s="9"/>
      <c r="DN41" s="9"/>
      <c r="DO41" s="9"/>
      <c r="DP41" s="55">
        <v>0</v>
      </c>
    </row>
    <row r="42" spans="1:120" hidden="1" x14ac:dyDescent="0.25">
      <c r="A42" s="35">
        <v>76</v>
      </c>
      <c r="B42" s="36" t="s">
        <v>313</v>
      </c>
      <c r="C42" s="36" t="s">
        <v>28</v>
      </c>
      <c r="D42" s="36" t="s">
        <v>29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>
        <v>9.6</v>
      </c>
      <c r="AS42" s="36">
        <v>9.1999999999999993</v>
      </c>
      <c r="AT42" s="36">
        <v>9.4</v>
      </c>
      <c r="AU42" s="36">
        <v>9.1999999999999993</v>
      </c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49"/>
      <c r="DJ42" s="49"/>
      <c r="DK42" s="49"/>
      <c r="DL42" s="49"/>
      <c r="DM42" s="49"/>
      <c r="DN42" s="49"/>
      <c r="DO42" s="49"/>
      <c r="DP42" s="55">
        <v>0</v>
      </c>
    </row>
    <row r="43" spans="1:120" hidden="1" x14ac:dyDescent="0.25">
      <c r="A43" s="10">
        <v>43</v>
      </c>
      <c r="B43" s="2" t="s">
        <v>319</v>
      </c>
      <c r="C43" s="2" t="s">
        <v>28</v>
      </c>
      <c r="D43" s="2" t="s">
        <v>29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v>9.1999999999999993</v>
      </c>
      <c r="P43" s="2">
        <v>8.4</v>
      </c>
      <c r="Q43" s="2">
        <v>9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9"/>
      <c r="DJ43" s="9"/>
      <c r="DK43" s="9"/>
      <c r="DL43" s="9"/>
      <c r="DM43" s="9"/>
      <c r="DN43" s="9"/>
      <c r="DO43" s="9"/>
      <c r="DP43" s="55">
        <v>0</v>
      </c>
    </row>
    <row r="44" spans="1:120" hidden="1" x14ac:dyDescent="0.25">
      <c r="A44" s="35">
        <v>98</v>
      </c>
      <c r="B44" s="36" t="s">
        <v>322</v>
      </c>
      <c r="C44" s="36" t="s">
        <v>28</v>
      </c>
      <c r="D44" s="36" t="s">
        <v>29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>
        <v>8.6</v>
      </c>
      <c r="CK44" s="36">
        <v>8.4</v>
      </c>
      <c r="CL44" s="36">
        <v>9</v>
      </c>
      <c r="CM44" s="36">
        <v>8.1999999999999993</v>
      </c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49"/>
      <c r="DJ44" s="49"/>
      <c r="DK44" s="49"/>
      <c r="DL44" s="49"/>
      <c r="DM44" s="49"/>
      <c r="DN44" s="49"/>
      <c r="DO44" s="49"/>
      <c r="DP44" s="55">
        <v>0</v>
      </c>
    </row>
    <row r="45" spans="1:120" hidden="1" x14ac:dyDescent="0.25">
      <c r="A45" s="35">
        <v>68</v>
      </c>
      <c r="B45" s="36" t="s">
        <v>325</v>
      </c>
      <c r="C45" s="36" t="s">
        <v>28</v>
      </c>
      <c r="D45" s="36" t="s">
        <v>29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>
        <v>8.6</v>
      </c>
      <c r="AZ45" s="36">
        <v>8.8000000000000007</v>
      </c>
      <c r="BA45" s="36">
        <v>9.4</v>
      </c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49"/>
      <c r="DJ45" s="49"/>
      <c r="DK45" s="49"/>
      <c r="DL45" s="49"/>
      <c r="DM45" s="49"/>
      <c r="DN45" s="49"/>
      <c r="DO45" s="49"/>
      <c r="DP45" s="55">
        <v>0</v>
      </c>
    </row>
    <row r="46" spans="1:120" hidden="1" x14ac:dyDescent="0.25">
      <c r="A46" s="35">
        <v>49</v>
      </c>
      <c r="B46" s="36" t="s">
        <v>326</v>
      </c>
      <c r="C46" s="36" t="s">
        <v>28</v>
      </c>
      <c r="D46" s="36" t="s">
        <v>29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>
        <v>8.4</v>
      </c>
      <c r="AZ46" s="36">
        <v>8.4</v>
      </c>
      <c r="BA46" s="36">
        <v>9</v>
      </c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49"/>
      <c r="DJ46" s="49"/>
      <c r="DK46" s="49"/>
      <c r="DL46" s="49"/>
      <c r="DM46" s="49"/>
      <c r="DN46" s="49"/>
      <c r="DO46" s="49"/>
      <c r="DP46" s="55">
        <v>0</v>
      </c>
    </row>
    <row r="47" spans="1:120" hidden="1" x14ac:dyDescent="0.25">
      <c r="A47" s="35">
        <v>88</v>
      </c>
      <c r="B47" s="36" t="s">
        <v>330</v>
      </c>
      <c r="C47" s="36" t="s">
        <v>28</v>
      </c>
      <c r="D47" s="36" t="s">
        <v>29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>
        <v>8.8000000000000007</v>
      </c>
      <c r="CK47" s="36">
        <v>8.4</v>
      </c>
      <c r="CL47" s="36">
        <v>8.8000000000000007</v>
      </c>
      <c r="CM47" s="36">
        <v>8.8000000000000007</v>
      </c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49"/>
      <c r="DJ47" s="49"/>
      <c r="DK47" s="49"/>
      <c r="DL47" s="49"/>
      <c r="DM47" s="49"/>
      <c r="DN47" s="49"/>
      <c r="DO47" s="49"/>
      <c r="DP47" s="55">
        <v>0</v>
      </c>
    </row>
    <row r="48" spans="1:120" hidden="1" x14ac:dyDescent="0.25">
      <c r="A48" s="10">
        <v>44</v>
      </c>
      <c r="B48" s="2" t="s">
        <v>217</v>
      </c>
      <c r="C48" s="2" t="s">
        <v>28</v>
      </c>
      <c r="D48" s="2" t="s">
        <v>29</v>
      </c>
      <c r="E48" s="8"/>
      <c r="F48" s="2"/>
      <c r="G48" s="2"/>
      <c r="H48" s="2"/>
      <c r="I48" s="2"/>
      <c r="J48" s="2"/>
      <c r="K48" s="2"/>
      <c r="L48" s="2">
        <v>7.8</v>
      </c>
      <c r="M48" s="2">
        <v>8</v>
      </c>
      <c r="N48" s="2">
        <v>8.4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9"/>
      <c r="DJ48" s="9"/>
      <c r="DK48" s="9"/>
      <c r="DL48" s="9"/>
      <c r="DM48" s="9"/>
      <c r="DN48" s="9"/>
      <c r="DO48" s="9"/>
      <c r="DP48" s="55">
        <v>0</v>
      </c>
    </row>
    <row r="49" spans="1:120" hidden="1" x14ac:dyDescent="0.25">
      <c r="A49" s="35">
        <v>62</v>
      </c>
      <c r="B49" s="36" t="s">
        <v>338</v>
      </c>
      <c r="C49" s="36" t="s">
        <v>28</v>
      </c>
      <c r="D49" s="36" t="s">
        <v>29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>
        <v>9</v>
      </c>
      <c r="AZ49" s="36">
        <v>9.1999999999999993</v>
      </c>
      <c r="BA49" s="36">
        <v>9.6</v>
      </c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49"/>
      <c r="DJ49" s="49"/>
      <c r="DK49" s="49"/>
      <c r="DL49" s="49"/>
      <c r="DM49" s="49"/>
      <c r="DN49" s="49"/>
      <c r="DO49" s="49"/>
      <c r="DP49" s="55">
        <v>0</v>
      </c>
    </row>
    <row r="50" spans="1:120" hidden="1" x14ac:dyDescent="0.25">
      <c r="A50" s="10">
        <v>29</v>
      </c>
      <c r="B50" s="2" t="s">
        <v>343</v>
      </c>
      <c r="C50" s="2" t="s">
        <v>28</v>
      </c>
      <c r="D50" s="2" t="s">
        <v>29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>
        <v>8.6</v>
      </c>
      <c r="P50" s="2">
        <v>8.8000000000000007</v>
      </c>
      <c r="Q50" s="2">
        <v>9.4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9"/>
      <c r="DJ50" s="9"/>
      <c r="DK50" s="9"/>
      <c r="DL50" s="9"/>
      <c r="DM50" s="9"/>
      <c r="DN50" s="9"/>
      <c r="DO50" s="9"/>
      <c r="DP50" s="55">
        <v>0</v>
      </c>
    </row>
    <row r="51" spans="1:120" hidden="1" x14ac:dyDescent="0.25">
      <c r="A51" s="10">
        <v>32</v>
      </c>
      <c r="B51" s="2" t="s">
        <v>354</v>
      </c>
      <c r="C51" s="2" t="s">
        <v>28</v>
      </c>
      <c r="D51" s="2" t="s">
        <v>29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9.1999999999999993</v>
      </c>
      <c r="P51" s="2">
        <v>8.8000000000000007</v>
      </c>
      <c r="Q51" s="2">
        <v>8.6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14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9"/>
      <c r="DJ51" s="9"/>
      <c r="DK51" s="9"/>
      <c r="DL51" s="9"/>
      <c r="DM51" s="9"/>
      <c r="DN51" s="9"/>
      <c r="DO51" s="9"/>
      <c r="DP51" s="55">
        <v>0</v>
      </c>
    </row>
    <row r="52" spans="1:120" hidden="1" x14ac:dyDescent="0.25">
      <c r="A52" s="10">
        <v>45</v>
      </c>
      <c r="B52" s="2" t="s">
        <v>218</v>
      </c>
      <c r="C52" s="2" t="s">
        <v>28</v>
      </c>
      <c r="D52" s="2" t="s">
        <v>29</v>
      </c>
      <c r="E52" s="2"/>
      <c r="F52" s="2"/>
      <c r="G52" s="2"/>
      <c r="H52" s="2"/>
      <c r="I52" s="2"/>
      <c r="J52" s="2"/>
      <c r="K52" s="2"/>
      <c r="L52" s="2">
        <v>9.4</v>
      </c>
      <c r="M52" s="2">
        <v>9.6</v>
      </c>
      <c r="N52" s="2">
        <v>9.6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9"/>
      <c r="DJ52" s="9"/>
      <c r="DK52" s="9"/>
      <c r="DL52" s="9"/>
      <c r="DM52" s="9"/>
      <c r="DN52" s="9"/>
      <c r="DO52" s="9"/>
      <c r="DP52" s="55">
        <v>0</v>
      </c>
    </row>
    <row r="53" spans="1:120" hidden="1" x14ac:dyDescent="0.25">
      <c r="A53" s="35">
        <v>107</v>
      </c>
      <c r="B53" s="36" t="s">
        <v>245</v>
      </c>
      <c r="C53" s="36" t="s">
        <v>28</v>
      </c>
      <c r="D53" s="36" t="s">
        <v>29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>
        <v>8.6</v>
      </c>
      <c r="CG53" s="36">
        <v>8.4</v>
      </c>
      <c r="CH53" s="36">
        <v>9</v>
      </c>
      <c r="CI53" s="36">
        <v>8.1999999999999993</v>
      </c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49"/>
      <c r="DJ53" s="49"/>
      <c r="DK53" s="49"/>
      <c r="DL53" s="49"/>
      <c r="DM53" s="49"/>
      <c r="DN53" s="49"/>
      <c r="DO53" s="49"/>
      <c r="DP53" s="55">
        <v>0</v>
      </c>
    </row>
    <row r="54" spans="1:120" hidden="1" x14ac:dyDescent="0.25">
      <c r="A54" s="35">
        <v>85</v>
      </c>
      <c r="B54" s="36" t="s">
        <v>225</v>
      </c>
      <c r="C54" s="36" t="s">
        <v>28</v>
      </c>
      <c r="D54" s="36" t="s">
        <v>29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>
        <v>8.8000000000000007</v>
      </c>
      <c r="AW54" s="36">
        <v>8.8000000000000007</v>
      </c>
      <c r="AX54" s="36">
        <v>9.6</v>
      </c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49"/>
      <c r="DJ54" s="49"/>
      <c r="DK54" s="49"/>
      <c r="DL54" s="49"/>
      <c r="DM54" s="49"/>
      <c r="DN54" s="49"/>
      <c r="DO54" s="49"/>
      <c r="DP54" s="55">
        <v>0</v>
      </c>
    </row>
    <row r="55" spans="1:120" hidden="1" x14ac:dyDescent="0.25">
      <c r="A55" s="35">
        <v>87</v>
      </c>
      <c r="B55" s="36" t="s">
        <v>255</v>
      </c>
      <c r="C55" s="36" t="s">
        <v>28</v>
      </c>
      <c r="D55" s="36" t="s">
        <v>11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>
        <v>4</v>
      </c>
      <c r="DA55" s="36"/>
      <c r="DB55" s="36"/>
      <c r="DC55" s="36"/>
      <c r="DD55" s="36"/>
      <c r="DE55" s="36"/>
      <c r="DF55" s="36"/>
      <c r="DG55" s="36"/>
      <c r="DH55" s="36"/>
      <c r="DI55" s="49"/>
      <c r="DJ55" s="49"/>
      <c r="DK55" s="49"/>
      <c r="DL55" s="49"/>
      <c r="DM55" s="49"/>
      <c r="DN55" s="49"/>
      <c r="DO55" s="49"/>
      <c r="DP55" s="55">
        <v>2</v>
      </c>
    </row>
    <row r="56" spans="1:120" hidden="1" x14ac:dyDescent="0.25">
      <c r="A56" s="35">
        <v>87</v>
      </c>
      <c r="B56" s="36" t="s">
        <v>255</v>
      </c>
      <c r="C56" s="36" t="s">
        <v>28</v>
      </c>
      <c r="D56" s="36" t="s">
        <v>11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>
        <v>1</v>
      </c>
      <c r="DG56" s="36"/>
      <c r="DH56" s="36"/>
      <c r="DI56" s="49"/>
      <c r="DJ56" s="49"/>
      <c r="DK56" s="49"/>
      <c r="DL56" s="49"/>
      <c r="DM56" s="49"/>
      <c r="DN56" s="49"/>
      <c r="DO56" s="49"/>
      <c r="DP56" s="55">
        <v>0</v>
      </c>
    </row>
    <row r="57" spans="1:120" hidden="1" x14ac:dyDescent="0.25">
      <c r="A57" s="35">
        <v>113</v>
      </c>
      <c r="B57" s="36" t="s">
        <v>229</v>
      </c>
      <c r="C57" s="36" t="s">
        <v>28</v>
      </c>
      <c r="D57" s="36" t="s">
        <v>11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49">
        <v>1</v>
      </c>
      <c r="DJ57" s="49"/>
      <c r="DK57" s="49"/>
      <c r="DL57" s="49"/>
      <c r="DM57" s="49"/>
      <c r="DN57" s="49"/>
      <c r="DO57" s="49"/>
      <c r="DP57" s="55">
        <v>12</v>
      </c>
    </row>
    <row r="58" spans="1:120" hidden="1" x14ac:dyDescent="0.25">
      <c r="A58" s="35">
        <v>113</v>
      </c>
      <c r="B58" s="36" t="s">
        <v>229</v>
      </c>
      <c r="C58" s="36" t="s">
        <v>28</v>
      </c>
      <c r="D58" s="36" t="s">
        <v>11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>
        <v>2</v>
      </c>
      <c r="DB58" s="36"/>
      <c r="DC58" s="36"/>
      <c r="DD58" s="36"/>
      <c r="DE58" s="36"/>
      <c r="DF58" s="36"/>
      <c r="DG58" s="36"/>
      <c r="DH58" s="36"/>
      <c r="DI58" s="49"/>
      <c r="DJ58" s="49"/>
      <c r="DK58" s="49"/>
      <c r="DL58" s="49"/>
      <c r="DM58" s="49"/>
      <c r="DN58" s="49"/>
      <c r="DO58" s="49"/>
      <c r="DP58" s="55">
        <v>8</v>
      </c>
    </row>
    <row r="59" spans="1:120" hidden="1" x14ac:dyDescent="0.25">
      <c r="A59" s="35">
        <v>113</v>
      </c>
      <c r="B59" s="36" t="s">
        <v>229</v>
      </c>
      <c r="C59" s="36" t="s">
        <v>28</v>
      </c>
      <c r="D59" s="36" t="s">
        <v>11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>
        <v>3</v>
      </c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49"/>
      <c r="DJ59" s="49"/>
      <c r="DK59" s="49"/>
      <c r="DL59" s="49"/>
      <c r="DM59" s="49"/>
      <c r="DN59" s="49"/>
      <c r="DO59" s="49"/>
      <c r="DP59" s="55">
        <v>12</v>
      </c>
    </row>
    <row r="60" spans="1:120" hidden="1" x14ac:dyDescent="0.25">
      <c r="A60" s="35">
        <v>113</v>
      </c>
      <c r="B60" s="36" t="s">
        <v>229</v>
      </c>
      <c r="C60" s="36" t="s">
        <v>28</v>
      </c>
      <c r="D60" s="36" t="s">
        <v>11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>
        <v>1</v>
      </c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49"/>
      <c r="DJ60" s="49"/>
      <c r="DK60" s="49"/>
      <c r="DL60" s="49"/>
      <c r="DM60" s="49"/>
      <c r="DN60" s="49"/>
      <c r="DO60" s="49"/>
      <c r="DP60" s="55">
        <v>0</v>
      </c>
    </row>
    <row r="61" spans="1:120" hidden="1" x14ac:dyDescent="0.25">
      <c r="A61" s="35">
        <v>113</v>
      </c>
      <c r="B61" s="36" t="s">
        <v>229</v>
      </c>
      <c r="C61" s="36" t="s">
        <v>28</v>
      </c>
      <c r="D61" s="36" t="s">
        <v>11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>
        <v>3</v>
      </c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49"/>
      <c r="DJ61" s="49"/>
      <c r="DK61" s="49"/>
      <c r="DL61" s="49"/>
      <c r="DM61" s="49"/>
      <c r="DN61" s="49"/>
      <c r="DO61" s="49"/>
      <c r="DP61" s="55">
        <v>0</v>
      </c>
    </row>
    <row r="62" spans="1:120" hidden="1" x14ac:dyDescent="0.25">
      <c r="A62" s="35">
        <v>113</v>
      </c>
      <c r="B62" s="36" t="s">
        <v>229</v>
      </c>
      <c r="C62" s="36" t="s">
        <v>28</v>
      </c>
      <c r="D62" s="36" t="s">
        <v>11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>
        <v>1</v>
      </c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49"/>
      <c r="DJ62" s="49"/>
      <c r="DK62" s="49"/>
      <c r="DL62" s="49"/>
      <c r="DM62" s="49"/>
      <c r="DN62" s="49"/>
      <c r="DO62" s="49"/>
      <c r="DP62" s="55">
        <v>0</v>
      </c>
    </row>
    <row r="63" spans="1:120" hidden="1" x14ac:dyDescent="0.25">
      <c r="A63" s="35">
        <v>40</v>
      </c>
      <c r="B63" s="36" t="s">
        <v>257</v>
      </c>
      <c r="C63" s="36" t="s">
        <v>28</v>
      </c>
      <c r="D63" s="36" t="s">
        <v>11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>
        <v>6</v>
      </c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49"/>
      <c r="DJ63" s="49"/>
      <c r="DK63" s="49"/>
      <c r="DL63" s="49"/>
      <c r="DM63" s="49"/>
      <c r="DN63" s="49"/>
      <c r="DO63" s="49"/>
      <c r="DP63" s="55">
        <v>2</v>
      </c>
    </row>
    <row r="64" spans="1:120" hidden="1" x14ac:dyDescent="0.25">
      <c r="A64" s="10">
        <v>40</v>
      </c>
      <c r="B64" s="2" t="s">
        <v>257</v>
      </c>
      <c r="C64" s="2" t="s">
        <v>28</v>
      </c>
      <c r="D64" s="2" t="s">
        <v>11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2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9"/>
      <c r="DJ64" s="9"/>
      <c r="DK64" s="9"/>
      <c r="DL64" s="9"/>
      <c r="DM64" s="9"/>
      <c r="DN64" s="9"/>
      <c r="DO64" s="9"/>
      <c r="DP64" s="54">
        <v>4</v>
      </c>
    </row>
    <row r="65" spans="1:120" hidden="1" x14ac:dyDescent="0.25">
      <c r="A65" s="10">
        <v>40</v>
      </c>
      <c r="B65" s="2" t="s">
        <v>257</v>
      </c>
      <c r="C65" s="2" t="s">
        <v>28</v>
      </c>
      <c r="D65" s="2" t="s">
        <v>11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>
        <v>2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9"/>
      <c r="DJ65" s="9"/>
      <c r="DK65" s="9"/>
      <c r="DL65" s="9"/>
      <c r="DM65" s="9"/>
      <c r="DN65" s="9"/>
      <c r="DO65" s="9"/>
      <c r="DP65" s="54">
        <v>4</v>
      </c>
    </row>
    <row r="66" spans="1:120" hidden="1" x14ac:dyDescent="0.25">
      <c r="A66" s="10">
        <v>40</v>
      </c>
      <c r="B66" s="2" t="s">
        <v>257</v>
      </c>
      <c r="C66" s="2" t="s">
        <v>28</v>
      </c>
      <c r="D66" s="2" t="s">
        <v>11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4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9"/>
      <c r="DJ66" s="9"/>
      <c r="DK66" s="9"/>
      <c r="DL66" s="9"/>
      <c r="DM66" s="9"/>
      <c r="DN66" s="9"/>
      <c r="DO66" s="9"/>
      <c r="DP66" s="54">
        <v>2</v>
      </c>
    </row>
    <row r="67" spans="1:120" hidden="1" x14ac:dyDescent="0.25">
      <c r="A67" s="35">
        <v>104</v>
      </c>
      <c r="B67" s="36" t="s">
        <v>258</v>
      </c>
      <c r="C67" s="36" t="s">
        <v>28</v>
      </c>
      <c r="D67" s="36" t="s">
        <v>11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49"/>
      <c r="DJ67" s="49"/>
      <c r="DK67" s="49">
        <v>2</v>
      </c>
      <c r="DL67" s="49"/>
      <c r="DM67" s="49"/>
      <c r="DN67" s="49"/>
      <c r="DO67" s="49"/>
      <c r="DP67" s="55">
        <v>4</v>
      </c>
    </row>
    <row r="68" spans="1:120" hidden="1" x14ac:dyDescent="0.25">
      <c r="A68" s="35">
        <v>104</v>
      </c>
      <c r="B68" s="36" t="s">
        <v>258</v>
      </c>
      <c r="C68" s="36" t="s">
        <v>28</v>
      </c>
      <c r="D68" s="36" t="s">
        <v>11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>
        <v>3</v>
      </c>
      <c r="DI68" s="49"/>
      <c r="DJ68" s="49"/>
      <c r="DK68" s="49"/>
      <c r="DL68" s="49"/>
      <c r="DM68" s="49"/>
      <c r="DN68" s="49"/>
      <c r="DO68" s="49"/>
      <c r="DP68" s="55">
        <v>4</v>
      </c>
    </row>
    <row r="69" spans="1:120" hidden="1" x14ac:dyDescent="0.25">
      <c r="A69" s="35">
        <v>104</v>
      </c>
      <c r="B69" s="36" t="s">
        <v>258</v>
      </c>
      <c r="C69" s="36" t="s">
        <v>28</v>
      </c>
      <c r="D69" s="36" t="s">
        <v>11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>
        <v>4</v>
      </c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49"/>
      <c r="DJ69" s="49"/>
      <c r="DK69" s="49"/>
      <c r="DL69" s="49"/>
      <c r="DM69" s="49"/>
      <c r="DN69" s="49"/>
      <c r="DO69" s="49"/>
      <c r="DP69" s="55">
        <v>4</v>
      </c>
    </row>
    <row r="70" spans="1:120" hidden="1" x14ac:dyDescent="0.25">
      <c r="A70" s="35">
        <v>104</v>
      </c>
      <c r="B70" s="36" t="s">
        <v>258</v>
      </c>
      <c r="C70" s="36" t="s">
        <v>28</v>
      </c>
      <c r="D70" s="36" t="s">
        <v>11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>
        <v>3</v>
      </c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49"/>
      <c r="DJ70" s="49"/>
      <c r="DK70" s="49"/>
      <c r="DL70" s="49"/>
      <c r="DM70" s="49"/>
      <c r="DN70" s="49"/>
      <c r="DO70" s="49"/>
      <c r="DP70" s="55">
        <v>8</v>
      </c>
    </row>
    <row r="71" spans="1:120" hidden="1" x14ac:dyDescent="0.25">
      <c r="A71" s="10">
        <v>42</v>
      </c>
      <c r="B71" s="2" t="s">
        <v>263</v>
      </c>
      <c r="C71" s="2" t="s">
        <v>28</v>
      </c>
      <c r="D71" s="2" t="s">
        <v>11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v>1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9"/>
      <c r="DJ71" s="9"/>
      <c r="DK71" s="9"/>
      <c r="DL71" s="9"/>
      <c r="DM71" s="9"/>
      <c r="DN71" s="9"/>
      <c r="DO71" s="9"/>
      <c r="DP71" s="54">
        <v>12</v>
      </c>
    </row>
    <row r="72" spans="1:120" hidden="1" x14ac:dyDescent="0.25">
      <c r="A72" s="10">
        <v>42</v>
      </c>
      <c r="B72" s="2" t="s">
        <v>263</v>
      </c>
      <c r="C72" s="2" t="s">
        <v>28</v>
      </c>
      <c r="D72" s="2" t="s">
        <v>11</v>
      </c>
      <c r="E72" s="2">
        <v>1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"/>
      <c r="X72" s="1"/>
      <c r="Y72" s="1"/>
      <c r="Z72" s="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9"/>
      <c r="DJ72" s="9"/>
      <c r="DK72" s="9"/>
      <c r="DL72" s="9"/>
      <c r="DM72" s="9"/>
      <c r="DN72" s="9"/>
      <c r="DO72" s="9"/>
      <c r="DP72" s="55">
        <v>0</v>
      </c>
    </row>
    <row r="73" spans="1:120" hidden="1" x14ac:dyDescent="0.25">
      <c r="A73" s="10">
        <v>42</v>
      </c>
      <c r="B73" s="2" t="s">
        <v>263</v>
      </c>
      <c r="C73" s="2" t="s">
        <v>28</v>
      </c>
      <c r="D73" s="2" t="s">
        <v>11</v>
      </c>
      <c r="E73" s="2"/>
      <c r="F73" s="2">
        <v>1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"/>
      <c r="X73" s="1"/>
      <c r="Y73" s="1"/>
      <c r="Z73" s="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9"/>
      <c r="DJ73" s="9"/>
      <c r="DK73" s="9"/>
      <c r="DL73" s="9"/>
      <c r="DM73" s="9"/>
      <c r="DN73" s="9"/>
      <c r="DO73" s="9"/>
      <c r="DP73" s="55">
        <v>0</v>
      </c>
    </row>
    <row r="74" spans="1:120" hidden="1" x14ac:dyDescent="0.25">
      <c r="A74" s="10">
        <v>42</v>
      </c>
      <c r="B74" s="2" t="s">
        <v>263</v>
      </c>
      <c r="C74" s="2" t="s">
        <v>28</v>
      </c>
      <c r="D74" s="2" t="s">
        <v>11</v>
      </c>
      <c r="E74" s="2"/>
      <c r="F74" s="2"/>
      <c r="G74" s="2">
        <v>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"/>
      <c r="X74" s="1"/>
      <c r="Y74" s="1"/>
      <c r="Z74" s="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9"/>
      <c r="DJ74" s="9"/>
      <c r="DK74" s="9"/>
      <c r="DL74" s="9"/>
      <c r="DM74" s="9"/>
      <c r="DN74" s="9"/>
      <c r="DO74" s="9"/>
      <c r="DP74" s="55">
        <v>0</v>
      </c>
    </row>
    <row r="75" spans="1:120" hidden="1" x14ac:dyDescent="0.25">
      <c r="A75" s="10">
        <v>31</v>
      </c>
      <c r="B75" s="2" t="s">
        <v>267</v>
      </c>
      <c r="C75" s="2" t="s">
        <v>28</v>
      </c>
      <c r="D75" s="2" t="s">
        <v>11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>
        <v>14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9"/>
      <c r="DJ75" s="9"/>
      <c r="DK75" s="9"/>
      <c r="DL75" s="9"/>
      <c r="DM75" s="9"/>
      <c r="DN75" s="9"/>
      <c r="DO75" s="9"/>
      <c r="DP75" s="55">
        <v>0</v>
      </c>
    </row>
    <row r="76" spans="1:120" hidden="1" x14ac:dyDescent="0.25">
      <c r="A76" s="35">
        <v>94</v>
      </c>
      <c r="B76" s="36" t="s">
        <v>268</v>
      </c>
      <c r="C76" s="36" t="s">
        <v>28</v>
      </c>
      <c r="D76" s="36" t="s">
        <v>11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49"/>
      <c r="DJ76" s="49"/>
      <c r="DK76" s="49"/>
      <c r="DL76" s="49"/>
      <c r="DM76" s="49"/>
      <c r="DN76" s="49"/>
      <c r="DO76" s="49">
        <v>4</v>
      </c>
      <c r="DP76" s="55">
        <v>2</v>
      </c>
    </row>
    <row r="77" spans="1:120" hidden="1" x14ac:dyDescent="0.25">
      <c r="A77" s="35">
        <v>94</v>
      </c>
      <c r="B77" s="36" t="s">
        <v>268</v>
      </c>
      <c r="C77" s="36" t="s">
        <v>28</v>
      </c>
      <c r="D77" s="36" t="s">
        <v>11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>
        <v>3</v>
      </c>
      <c r="DA77" s="36"/>
      <c r="DB77" s="36"/>
      <c r="DC77" s="36"/>
      <c r="DD77" s="36"/>
      <c r="DE77" s="36"/>
      <c r="DF77" s="36"/>
      <c r="DG77" s="36"/>
      <c r="DH77" s="36"/>
      <c r="DI77" s="49"/>
      <c r="DJ77" s="49"/>
      <c r="DK77" s="49"/>
      <c r="DL77" s="49"/>
      <c r="DM77" s="49"/>
      <c r="DN77" s="49"/>
      <c r="DO77" s="49"/>
      <c r="DP77" s="55">
        <v>4</v>
      </c>
    </row>
    <row r="78" spans="1:120" hidden="1" x14ac:dyDescent="0.25">
      <c r="A78" s="35">
        <v>111</v>
      </c>
      <c r="B78" s="36" t="s">
        <v>270</v>
      </c>
      <c r="C78" s="36" t="s">
        <v>28</v>
      </c>
      <c r="D78" s="36" t="s">
        <v>11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>
        <v>1</v>
      </c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49"/>
      <c r="DJ78" s="49"/>
      <c r="DK78" s="49"/>
      <c r="DL78" s="49"/>
      <c r="DM78" s="49"/>
      <c r="DN78" s="49"/>
      <c r="DO78" s="49"/>
      <c r="DP78" s="55">
        <v>12</v>
      </c>
    </row>
    <row r="79" spans="1:120" hidden="1" x14ac:dyDescent="0.25">
      <c r="A79" s="35">
        <v>111</v>
      </c>
      <c r="B79" s="36" t="s">
        <v>270</v>
      </c>
      <c r="C79" s="36" t="s">
        <v>28</v>
      </c>
      <c r="D79" s="36" t="s">
        <v>11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>
        <v>1</v>
      </c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49"/>
      <c r="DJ79" s="49"/>
      <c r="DK79" s="49"/>
      <c r="DL79" s="49"/>
      <c r="DM79" s="49"/>
      <c r="DN79" s="49"/>
      <c r="DO79" s="49"/>
      <c r="DP79" s="55">
        <v>0</v>
      </c>
    </row>
    <row r="80" spans="1:120" hidden="1" x14ac:dyDescent="0.25">
      <c r="A80" s="35">
        <v>111</v>
      </c>
      <c r="B80" s="36" t="s">
        <v>270</v>
      </c>
      <c r="C80" s="36" t="s">
        <v>28</v>
      </c>
      <c r="D80" s="36" t="s">
        <v>11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>
        <v>1</v>
      </c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49"/>
      <c r="DJ80" s="49"/>
      <c r="DK80" s="49"/>
      <c r="DL80" s="49"/>
      <c r="DM80" s="49"/>
      <c r="DN80" s="49"/>
      <c r="DO80" s="49"/>
      <c r="DP80" s="55">
        <v>0</v>
      </c>
    </row>
    <row r="81" spans="1:120" hidden="1" x14ac:dyDescent="0.25">
      <c r="A81" s="35">
        <v>95</v>
      </c>
      <c r="B81" s="36" t="s">
        <v>278</v>
      </c>
      <c r="C81" s="36" t="s">
        <v>28</v>
      </c>
      <c r="D81" s="36" t="s">
        <v>11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49"/>
      <c r="DJ81" s="49"/>
      <c r="DK81" s="49"/>
      <c r="DL81" s="49"/>
      <c r="DM81" s="49"/>
      <c r="DN81" s="49"/>
      <c r="DO81" s="49">
        <v>3</v>
      </c>
      <c r="DP81" s="55">
        <v>4</v>
      </c>
    </row>
    <row r="82" spans="1:120" hidden="1" x14ac:dyDescent="0.25">
      <c r="A82" s="35">
        <v>95</v>
      </c>
      <c r="B82" s="36" t="s">
        <v>278</v>
      </c>
      <c r="C82" s="36" t="s">
        <v>28</v>
      </c>
      <c r="D82" s="36" t="s">
        <v>11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>
        <v>1</v>
      </c>
      <c r="DD82" s="36"/>
      <c r="DE82" s="36"/>
      <c r="DF82" s="36"/>
      <c r="DG82" s="36"/>
      <c r="DH82" s="36"/>
      <c r="DI82" s="49"/>
      <c r="DJ82" s="49"/>
      <c r="DK82" s="49"/>
      <c r="DL82" s="49"/>
      <c r="DM82" s="49"/>
      <c r="DN82" s="49"/>
      <c r="DO82" s="49"/>
      <c r="DP82" s="55">
        <v>6</v>
      </c>
    </row>
    <row r="83" spans="1:120" hidden="1" x14ac:dyDescent="0.25">
      <c r="A83" s="35">
        <v>95</v>
      </c>
      <c r="B83" s="36" t="s">
        <v>278</v>
      </c>
      <c r="C83" s="36" t="s">
        <v>28</v>
      </c>
      <c r="D83" s="36" t="s">
        <v>11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>
        <v>2</v>
      </c>
      <c r="DA83" s="36"/>
      <c r="DB83" s="36"/>
      <c r="DC83" s="36"/>
      <c r="DD83" s="36"/>
      <c r="DE83" s="36"/>
      <c r="DF83" s="36"/>
      <c r="DG83" s="36"/>
      <c r="DH83" s="36"/>
      <c r="DI83" s="49"/>
      <c r="DJ83" s="49"/>
      <c r="DK83" s="49"/>
      <c r="DL83" s="49"/>
      <c r="DM83" s="49"/>
      <c r="DN83" s="49"/>
      <c r="DO83" s="49"/>
      <c r="DP83" s="55">
        <v>4</v>
      </c>
    </row>
    <row r="84" spans="1:120" hidden="1" x14ac:dyDescent="0.25">
      <c r="A84" s="35">
        <v>54</v>
      </c>
      <c r="B84" s="36" t="s">
        <v>279</v>
      </c>
      <c r="C84" s="36" t="s">
        <v>28</v>
      </c>
      <c r="D84" s="36" t="s">
        <v>11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 t="s">
        <v>15</v>
      </c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49"/>
      <c r="DJ84" s="49"/>
      <c r="DK84" s="49"/>
      <c r="DL84" s="49"/>
      <c r="DM84" s="49"/>
      <c r="DN84" s="49"/>
      <c r="DO84" s="49"/>
      <c r="DP84" s="55">
        <v>0</v>
      </c>
    </row>
    <row r="85" spans="1:120" hidden="1" x14ac:dyDescent="0.25">
      <c r="A85" s="35">
        <v>54</v>
      </c>
      <c r="B85" s="36" t="s">
        <v>279</v>
      </c>
      <c r="C85" s="36" t="s">
        <v>28</v>
      </c>
      <c r="D85" s="36" t="s">
        <v>11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v>4</v>
      </c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49"/>
      <c r="DJ85" s="49"/>
      <c r="DK85" s="49"/>
      <c r="DL85" s="49"/>
      <c r="DM85" s="49"/>
      <c r="DN85" s="49"/>
      <c r="DO85" s="49"/>
      <c r="DP85" s="55">
        <v>0</v>
      </c>
    </row>
    <row r="86" spans="1:120" hidden="1" x14ac:dyDescent="0.25">
      <c r="A86" s="35">
        <v>54</v>
      </c>
      <c r="B86" s="36" t="s">
        <v>279</v>
      </c>
      <c r="C86" s="36" t="s">
        <v>28</v>
      </c>
      <c r="D86" s="36" t="s">
        <v>11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>
        <v>3</v>
      </c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49"/>
      <c r="DJ86" s="49"/>
      <c r="DK86" s="49"/>
      <c r="DL86" s="49"/>
      <c r="DM86" s="49"/>
      <c r="DN86" s="49"/>
      <c r="DO86" s="49"/>
      <c r="DP86" s="55">
        <v>0</v>
      </c>
    </row>
    <row r="87" spans="1:120" hidden="1" x14ac:dyDescent="0.25">
      <c r="A87" s="35">
        <v>54</v>
      </c>
      <c r="B87" s="36" t="s">
        <v>279</v>
      </c>
      <c r="C87" s="36" t="s">
        <v>28</v>
      </c>
      <c r="D87" s="36" t="s">
        <v>11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>
        <v>4</v>
      </c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49"/>
      <c r="DJ87" s="49"/>
      <c r="DK87" s="49"/>
      <c r="DL87" s="49"/>
      <c r="DM87" s="49"/>
      <c r="DN87" s="49"/>
      <c r="DO87" s="49"/>
      <c r="DP87" s="55">
        <v>0</v>
      </c>
    </row>
    <row r="88" spans="1:120" hidden="1" x14ac:dyDescent="0.25">
      <c r="A88" s="35">
        <v>54</v>
      </c>
      <c r="B88" s="36" t="s">
        <v>279</v>
      </c>
      <c r="C88" s="36" t="s">
        <v>28</v>
      </c>
      <c r="D88" s="36" t="s">
        <v>11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>
        <v>3</v>
      </c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49"/>
      <c r="DJ88" s="49"/>
      <c r="DK88" s="49"/>
      <c r="DL88" s="49"/>
      <c r="DM88" s="49"/>
      <c r="DN88" s="49"/>
      <c r="DO88" s="49"/>
      <c r="DP88" s="55">
        <v>0</v>
      </c>
    </row>
    <row r="89" spans="1:120" hidden="1" x14ac:dyDescent="0.25">
      <c r="A89" s="35">
        <v>77</v>
      </c>
      <c r="B89" s="36" t="s">
        <v>280</v>
      </c>
      <c r="C89" s="36" t="s">
        <v>28</v>
      </c>
      <c r="D89" s="36" t="s">
        <v>11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>
        <v>1</v>
      </c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49"/>
      <c r="DJ89" s="49"/>
      <c r="DK89" s="49"/>
      <c r="DL89" s="49"/>
      <c r="DM89" s="49"/>
      <c r="DN89" s="49"/>
      <c r="DO89" s="49"/>
      <c r="DP89" s="55">
        <v>12</v>
      </c>
    </row>
    <row r="90" spans="1:120" hidden="1" x14ac:dyDescent="0.25">
      <c r="A90" s="35">
        <v>77</v>
      </c>
      <c r="B90" s="36" t="s">
        <v>280</v>
      </c>
      <c r="C90" s="36" t="s">
        <v>28</v>
      </c>
      <c r="D90" s="36" t="s">
        <v>11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v>2</v>
      </c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49"/>
      <c r="DJ90" s="49"/>
      <c r="DK90" s="49"/>
      <c r="DL90" s="49"/>
      <c r="DM90" s="49"/>
      <c r="DN90" s="49"/>
      <c r="DO90" s="49"/>
      <c r="DP90" s="55">
        <v>0</v>
      </c>
    </row>
    <row r="91" spans="1:120" hidden="1" x14ac:dyDescent="0.25">
      <c r="A91" s="35">
        <v>77</v>
      </c>
      <c r="B91" s="36" t="s">
        <v>280</v>
      </c>
      <c r="C91" s="36" t="s">
        <v>28</v>
      </c>
      <c r="D91" s="36" t="s">
        <v>11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>
        <v>1</v>
      </c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49"/>
      <c r="DJ91" s="49"/>
      <c r="DK91" s="49"/>
      <c r="DL91" s="49"/>
      <c r="DM91" s="49"/>
      <c r="DN91" s="49"/>
      <c r="DO91" s="49"/>
      <c r="DP91" s="55">
        <v>0</v>
      </c>
    </row>
    <row r="92" spans="1:120" hidden="1" x14ac:dyDescent="0.25">
      <c r="A92" s="35">
        <v>77</v>
      </c>
      <c r="B92" s="36" t="s">
        <v>280</v>
      </c>
      <c r="C92" s="36" t="s">
        <v>28</v>
      </c>
      <c r="D92" s="36" t="s">
        <v>11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>
        <v>1</v>
      </c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49"/>
      <c r="DJ92" s="49"/>
      <c r="DK92" s="49"/>
      <c r="DL92" s="49"/>
      <c r="DM92" s="49"/>
      <c r="DN92" s="49"/>
      <c r="DO92" s="49"/>
      <c r="DP92" s="55">
        <v>0</v>
      </c>
    </row>
    <row r="93" spans="1:120" hidden="1" x14ac:dyDescent="0.25">
      <c r="A93" s="35">
        <v>73</v>
      </c>
      <c r="B93" s="36" t="s">
        <v>282</v>
      </c>
      <c r="C93" s="36" t="s">
        <v>28</v>
      </c>
      <c r="D93" s="36" t="s">
        <v>11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>
        <v>2</v>
      </c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49"/>
      <c r="DJ93" s="49"/>
      <c r="DK93" s="49"/>
      <c r="DL93" s="49"/>
      <c r="DM93" s="49"/>
      <c r="DN93" s="49"/>
      <c r="DO93" s="49"/>
      <c r="DP93" s="55">
        <v>4</v>
      </c>
    </row>
    <row r="94" spans="1:120" hidden="1" x14ac:dyDescent="0.25">
      <c r="A94" s="35">
        <v>73</v>
      </c>
      <c r="B94" s="36" t="s">
        <v>282</v>
      </c>
      <c r="C94" s="36" t="s">
        <v>28</v>
      </c>
      <c r="D94" s="36" t="s">
        <v>11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>
        <v>5</v>
      </c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49"/>
      <c r="DJ94" s="49"/>
      <c r="DK94" s="49"/>
      <c r="DL94" s="49"/>
      <c r="DM94" s="49"/>
      <c r="DN94" s="49"/>
      <c r="DO94" s="49"/>
      <c r="DP94" s="55">
        <v>2</v>
      </c>
    </row>
    <row r="95" spans="1:120" hidden="1" x14ac:dyDescent="0.25">
      <c r="A95" s="35">
        <v>73</v>
      </c>
      <c r="B95" s="36" t="s">
        <v>282</v>
      </c>
      <c r="C95" s="36" t="s">
        <v>28</v>
      </c>
      <c r="D95" s="36" t="s">
        <v>11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>
        <v>5</v>
      </c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49"/>
      <c r="DJ95" s="49"/>
      <c r="DK95" s="49"/>
      <c r="DL95" s="49"/>
      <c r="DM95" s="49"/>
      <c r="DN95" s="49"/>
      <c r="DO95" s="49"/>
      <c r="DP95" s="55">
        <v>2</v>
      </c>
    </row>
    <row r="96" spans="1:120" hidden="1" x14ac:dyDescent="0.25">
      <c r="A96" s="35">
        <v>73</v>
      </c>
      <c r="B96" s="36" t="s">
        <v>282</v>
      </c>
      <c r="C96" s="36" t="s">
        <v>28</v>
      </c>
      <c r="D96" s="36" t="s">
        <v>11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>
        <v>1</v>
      </c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49"/>
      <c r="DJ96" s="49"/>
      <c r="DK96" s="49"/>
      <c r="DL96" s="49"/>
      <c r="DM96" s="49"/>
      <c r="DN96" s="49"/>
      <c r="DO96" s="49"/>
      <c r="DP96" s="55">
        <v>12</v>
      </c>
    </row>
    <row r="97" spans="1:120" hidden="1" x14ac:dyDescent="0.25">
      <c r="A97" s="35">
        <v>73</v>
      </c>
      <c r="B97" s="36" t="s">
        <v>282</v>
      </c>
      <c r="C97" s="36" t="s">
        <v>28</v>
      </c>
      <c r="D97" s="36" t="s">
        <v>11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>
        <v>1</v>
      </c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49"/>
      <c r="DJ97" s="49"/>
      <c r="DK97" s="49"/>
      <c r="DL97" s="49"/>
      <c r="DM97" s="49"/>
      <c r="DN97" s="49"/>
      <c r="DO97" s="49"/>
      <c r="DP97" s="55">
        <v>0</v>
      </c>
    </row>
    <row r="98" spans="1:120" hidden="1" x14ac:dyDescent="0.25">
      <c r="A98" s="35">
        <v>61</v>
      </c>
      <c r="B98" s="36" t="s">
        <v>223</v>
      </c>
      <c r="C98" s="36" t="s">
        <v>28</v>
      </c>
      <c r="D98" s="36" t="s">
        <v>11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>
        <v>1</v>
      </c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49"/>
      <c r="DJ98" s="49"/>
      <c r="DK98" s="49"/>
      <c r="DL98" s="49"/>
      <c r="DM98" s="49"/>
      <c r="DN98" s="49"/>
      <c r="DO98" s="49"/>
      <c r="DP98" s="55">
        <v>12</v>
      </c>
    </row>
    <row r="99" spans="1:120" hidden="1" x14ac:dyDescent="0.25">
      <c r="A99" s="35">
        <v>79</v>
      </c>
      <c r="B99" s="36" t="s">
        <v>287</v>
      </c>
      <c r="C99" s="36" t="s">
        <v>28</v>
      </c>
      <c r="D99" s="36" t="s">
        <v>176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>
        <v>6</v>
      </c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49"/>
      <c r="DJ99" s="49"/>
      <c r="DK99" s="49"/>
      <c r="DL99" s="49"/>
      <c r="DM99" s="49"/>
      <c r="DN99" s="49"/>
      <c r="DO99" s="49"/>
      <c r="DP99" s="55">
        <v>2</v>
      </c>
    </row>
    <row r="100" spans="1:120" hidden="1" x14ac:dyDescent="0.25">
      <c r="A100" s="35">
        <v>79</v>
      </c>
      <c r="B100" s="36" t="s">
        <v>287</v>
      </c>
      <c r="C100" s="36" t="s">
        <v>28</v>
      </c>
      <c r="D100" s="36" t="s">
        <v>176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 t="s">
        <v>177</v>
      </c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49"/>
      <c r="DJ100" s="49"/>
      <c r="DK100" s="49"/>
      <c r="DL100" s="49"/>
      <c r="DM100" s="49"/>
      <c r="DN100" s="49"/>
      <c r="DO100" s="49"/>
      <c r="DP100" s="55">
        <v>0</v>
      </c>
    </row>
    <row r="101" spans="1:120" hidden="1" x14ac:dyDescent="0.25">
      <c r="A101" s="35">
        <v>106</v>
      </c>
      <c r="B101" s="36" t="s">
        <v>288</v>
      </c>
      <c r="C101" s="36" t="s">
        <v>28</v>
      </c>
      <c r="D101" s="36" t="s">
        <v>11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49"/>
      <c r="DJ101" s="49"/>
      <c r="DK101" s="49">
        <v>3</v>
      </c>
      <c r="DL101" s="49"/>
      <c r="DM101" s="49"/>
      <c r="DN101" s="49"/>
      <c r="DO101" s="49"/>
      <c r="DP101" s="55">
        <v>4</v>
      </c>
    </row>
    <row r="102" spans="1:120" hidden="1" x14ac:dyDescent="0.25">
      <c r="A102" s="35">
        <v>106</v>
      </c>
      <c r="B102" s="36" t="s">
        <v>288</v>
      </c>
      <c r="C102" s="36" t="s">
        <v>28</v>
      </c>
      <c r="D102" s="36" t="s">
        <v>11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>
        <v>1</v>
      </c>
      <c r="DI102" s="49"/>
      <c r="DJ102" s="49"/>
      <c r="DK102" s="49"/>
      <c r="DL102" s="49"/>
      <c r="DM102" s="49"/>
      <c r="DN102" s="49"/>
      <c r="DO102" s="49"/>
      <c r="DP102" s="55">
        <v>6</v>
      </c>
    </row>
    <row r="103" spans="1:120" hidden="1" x14ac:dyDescent="0.25">
      <c r="A103" s="35">
        <v>106</v>
      </c>
      <c r="B103" s="36" t="s">
        <v>288</v>
      </c>
      <c r="C103" s="36" t="s">
        <v>28</v>
      </c>
      <c r="D103" s="36" t="s">
        <v>11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>
        <v>2</v>
      </c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49"/>
      <c r="DJ103" s="49"/>
      <c r="DK103" s="49"/>
      <c r="DL103" s="49"/>
      <c r="DM103" s="49"/>
      <c r="DN103" s="49"/>
      <c r="DO103" s="49"/>
      <c r="DP103" s="55">
        <v>8</v>
      </c>
    </row>
    <row r="104" spans="1:120" hidden="1" x14ac:dyDescent="0.25">
      <c r="A104" s="35">
        <v>106</v>
      </c>
      <c r="B104" s="36" t="s">
        <v>288</v>
      </c>
      <c r="C104" s="36" t="s">
        <v>28</v>
      </c>
      <c r="D104" s="36" t="s">
        <v>11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>
        <v>2</v>
      </c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49"/>
      <c r="DJ104" s="49"/>
      <c r="DK104" s="49"/>
      <c r="DL104" s="49"/>
      <c r="DM104" s="49"/>
      <c r="DN104" s="49"/>
      <c r="DO104" s="49"/>
      <c r="DP104" s="55">
        <v>8</v>
      </c>
    </row>
    <row r="105" spans="1:120" hidden="1" x14ac:dyDescent="0.25">
      <c r="A105" s="35">
        <v>53</v>
      </c>
      <c r="B105" s="36" t="s">
        <v>289</v>
      </c>
      <c r="C105" s="36" t="s">
        <v>28</v>
      </c>
      <c r="D105" s="36" t="s">
        <v>176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>
        <v>8</v>
      </c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49"/>
      <c r="DJ105" s="49"/>
      <c r="DK105" s="49"/>
      <c r="DL105" s="49"/>
      <c r="DM105" s="49"/>
      <c r="DN105" s="49"/>
      <c r="DO105" s="49"/>
      <c r="DP105" s="55">
        <v>0</v>
      </c>
    </row>
    <row r="106" spans="1:120" hidden="1" x14ac:dyDescent="0.25">
      <c r="A106" s="35">
        <v>50</v>
      </c>
      <c r="B106" s="36" t="s">
        <v>292</v>
      </c>
      <c r="C106" s="36" t="s">
        <v>28</v>
      </c>
      <c r="D106" s="36" t="s">
        <v>11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>
        <v>1</v>
      </c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49"/>
      <c r="DJ106" s="49"/>
      <c r="DK106" s="49"/>
      <c r="DL106" s="49"/>
      <c r="DM106" s="49"/>
      <c r="DN106" s="49"/>
      <c r="DO106" s="49"/>
      <c r="DP106" s="55">
        <v>6</v>
      </c>
    </row>
    <row r="107" spans="1:120" hidden="1" x14ac:dyDescent="0.25">
      <c r="A107" s="35">
        <v>50</v>
      </c>
      <c r="B107" s="36" t="s">
        <v>292</v>
      </c>
      <c r="C107" s="36" t="s">
        <v>28</v>
      </c>
      <c r="D107" s="36" t="s">
        <v>11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>
        <v>1</v>
      </c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49"/>
      <c r="DJ107" s="49"/>
      <c r="DK107" s="49"/>
      <c r="DL107" s="49"/>
      <c r="DM107" s="49"/>
      <c r="DN107" s="49"/>
      <c r="DO107" s="49"/>
      <c r="DP107" s="55">
        <v>6</v>
      </c>
    </row>
    <row r="108" spans="1:120" hidden="1" x14ac:dyDescent="0.25">
      <c r="A108" s="35">
        <v>50</v>
      </c>
      <c r="B108" s="36" t="s">
        <v>292</v>
      </c>
      <c r="C108" s="36" t="s">
        <v>28</v>
      </c>
      <c r="D108" s="36" t="s">
        <v>11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>
        <v>1</v>
      </c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49"/>
      <c r="DJ108" s="49"/>
      <c r="DK108" s="49"/>
      <c r="DL108" s="49"/>
      <c r="DM108" s="49"/>
      <c r="DN108" s="49"/>
      <c r="DO108" s="49"/>
      <c r="DP108" s="55">
        <v>6</v>
      </c>
    </row>
    <row r="109" spans="1:120" hidden="1" x14ac:dyDescent="0.25">
      <c r="A109" s="35">
        <v>50</v>
      </c>
      <c r="B109" s="36" t="s">
        <v>292</v>
      </c>
      <c r="C109" s="36" t="s">
        <v>28</v>
      </c>
      <c r="D109" s="36" t="s">
        <v>11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>
        <v>1</v>
      </c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49"/>
      <c r="DJ109" s="49"/>
      <c r="DK109" s="49"/>
      <c r="DL109" s="49"/>
      <c r="DM109" s="49"/>
      <c r="DN109" s="49"/>
      <c r="DO109" s="49"/>
      <c r="DP109" s="55">
        <v>6</v>
      </c>
    </row>
    <row r="110" spans="1:120" hidden="1" x14ac:dyDescent="0.25">
      <c r="A110" s="35">
        <v>50</v>
      </c>
      <c r="B110" s="36" t="s">
        <v>292</v>
      </c>
      <c r="C110" s="36" t="s">
        <v>28</v>
      </c>
      <c r="D110" s="36" t="s">
        <v>11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>
        <v>1</v>
      </c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49"/>
      <c r="DJ110" s="49"/>
      <c r="DK110" s="49"/>
      <c r="DL110" s="49"/>
      <c r="DM110" s="49"/>
      <c r="DN110" s="49"/>
      <c r="DO110" s="49"/>
      <c r="DP110" s="55">
        <v>6</v>
      </c>
    </row>
    <row r="111" spans="1:120" hidden="1" x14ac:dyDescent="0.25">
      <c r="A111" s="35">
        <v>71</v>
      </c>
      <c r="B111" s="36" t="s">
        <v>293</v>
      </c>
      <c r="C111" s="36" t="s">
        <v>28</v>
      </c>
      <c r="D111" s="36" t="s">
        <v>11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>
        <v>4</v>
      </c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49"/>
      <c r="DJ111" s="49"/>
      <c r="DK111" s="49"/>
      <c r="DL111" s="49"/>
      <c r="DM111" s="49"/>
      <c r="DN111" s="49"/>
      <c r="DO111" s="49"/>
      <c r="DP111" s="55">
        <v>2</v>
      </c>
    </row>
    <row r="112" spans="1:120" hidden="1" x14ac:dyDescent="0.25">
      <c r="A112" s="35">
        <v>71</v>
      </c>
      <c r="B112" s="36" t="s">
        <v>293</v>
      </c>
      <c r="C112" s="36" t="s">
        <v>28</v>
      </c>
      <c r="D112" s="36" t="s">
        <v>11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 t="s">
        <v>177</v>
      </c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49"/>
      <c r="DJ112" s="49"/>
      <c r="DK112" s="49"/>
      <c r="DL112" s="49"/>
      <c r="DM112" s="49"/>
      <c r="DN112" s="49"/>
      <c r="DO112" s="49"/>
      <c r="DP112" s="55">
        <v>0</v>
      </c>
    </row>
    <row r="113" spans="1:120" hidden="1" x14ac:dyDescent="0.25">
      <c r="A113" s="35">
        <v>110</v>
      </c>
      <c r="B113" s="36" t="s">
        <v>295</v>
      </c>
      <c r="C113" s="36" t="s">
        <v>28</v>
      </c>
      <c r="D113" s="36" t="s">
        <v>11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>
        <v>4</v>
      </c>
      <c r="DI113" s="49"/>
      <c r="DJ113" s="49"/>
      <c r="DK113" s="49"/>
      <c r="DL113" s="49"/>
      <c r="DM113" s="49"/>
      <c r="DN113" s="49"/>
      <c r="DO113" s="49"/>
      <c r="DP113" s="55">
        <v>2</v>
      </c>
    </row>
    <row r="114" spans="1:120" hidden="1" x14ac:dyDescent="0.25">
      <c r="A114" s="35">
        <v>110</v>
      </c>
      <c r="B114" s="36" t="s">
        <v>295</v>
      </c>
      <c r="C114" s="36" t="s">
        <v>28</v>
      </c>
      <c r="D114" s="36" t="s">
        <v>11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>
        <v>5</v>
      </c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49"/>
      <c r="DJ114" s="49"/>
      <c r="DK114" s="49"/>
      <c r="DL114" s="49"/>
      <c r="DM114" s="49"/>
      <c r="DN114" s="49"/>
      <c r="DO114" s="49"/>
      <c r="DP114" s="55">
        <v>4</v>
      </c>
    </row>
    <row r="115" spans="1:120" hidden="1" x14ac:dyDescent="0.25">
      <c r="A115" s="35">
        <v>110</v>
      </c>
      <c r="B115" s="36" t="s">
        <v>295</v>
      </c>
      <c r="C115" s="36" t="s">
        <v>28</v>
      </c>
      <c r="D115" s="36" t="s">
        <v>11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>
        <v>3</v>
      </c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49"/>
      <c r="DJ115" s="49"/>
      <c r="DK115" s="49"/>
      <c r="DL115" s="49"/>
      <c r="DM115" s="49"/>
      <c r="DN115" s="49"/>
      <c r="DO115" s="49"/>
      <c r="DP115" s="55">
        <v>0</v>
      </c>
    </row>
    <row r="116" spans="1:120" hidden="1" x14ac:dyDescent="0.25">
      <c r="A116" s="35">
        <v>115</v>
      </c>
      <c r="B116" s="36" t="s">
        <v>296</v>
      </c>
      <c r="C116" s="36" t="s">
        <v>28</v>
      </c>
      <c r="D116" s="36" t="s">
        <v>11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49"/>
      <c r="DJ116" s="49"/>
      <c r="DK116" s="49"/>
      <c r="DL116" s="49"/>
      <c r="DM116" s="49">
        <v>1</v>
      </c>
      <c r="DN116" s="49"/>
      <c r="DO116" s="49"/>
      <c r="DP116" s="55">
        <v>6</v>
      </c>
    </row>
    <row r="117" spans="1:120" hidden="1" x14ac:dyDescent="0.25">
      <c r="A117" s="35">
        <v>115</v>
      </c>
      <c r="B117" s="36" t="s">
        <v>296</v>
      </c>
      <c r="C117" s="36" t="s">
        <v>28</v>
      </c>
      <c r="D117" s="36" t="s">
        <v>11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49"/>
      <c r="DJ117" s="49">
        <v>2</v>
      </c>
      <c r="DK117" s="49"/>
      <c r="DL117" s="49"/>
      <c r="DM117" s="49"/>
      <c r="DN117" s="49"/>
      <c r="DO117" s="49"/>
      <c r="DP117" s="55">
        <v>4</v>
      </c>
    </row>
    <row r="118" spans="1:120" hidden="1" x14ac:dyDescent="0.25">
      <c r="A118" s="35">
        <v>115</v>
      </c>
      <c r="B118" s="36" t="s">
        <v>296</v>
      </c>
      <c r="C118" s="36" t="s">
        <v>28</v>
      </c>
      <c r="D118" s="36" t="s">
        <v>11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>
        <v>2</v>
      </c>
      <c r="DF118" s="36"/>
      <c r="DG118" s="36"/>
      <c r="DH118" s="36"/>
      <c r="DI118" s="49"/>
      <c r="DJ118" s="49"/>
      <c r="DK118" s="49"/>
      <c r="DL118" s="49"/>
      <c r="DM118" s="49"/>
      <c r="DN118" s="49"/>
      <c r="DO118" s="49"/>
      <c r="DP118" s="55">
        <v>4</v>
      </c>
    </row>
    <row r="119" spans="1:120" hidden="1" x14ac:dyDescent="0.25">
      <c r="A119" s="35">
        <v>115</v>
      </c>
      <c r="B119" s="36" t="s">
        <v>296</v>
      </c>
      <c r="C119" s="36" t="s">
        <v>28</v>
      </c>
      <c r="D119" s="36" t="s">
        <v>11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>
        <v>2</v>
      </c>
      <c r="DC119" s="36"/>
      <c r="DD119" s="36"/>
      <c r="DE119" s="36"/>
      <c r="DF119" s="36"/>
      <c r="DG119" s="36"/>
      <c r="DH119" s="36"/>
      <c r="DI119" s="49"/>
      <c r="DJ119" s="49"/>
      <c r="DK119" s="49"/>
      <c r="DL119" s="49"/>
      <c r="DM119" s="49"/>
      <c r="DN119" s="49"/>
      <c r="DO119" s="49"/>
      <c r="DP119" s="55">
        <v>4</v>
      </c>
    </row>
    <row r="120" spans="1:120" hidden="1" x14ac:dyDescent="0.25">
      <c r="A120" s="35">
        <v>115</v>
      </c>
      <c r="B120" s="36" t="s">
        <v>296</v>
      </c>
      <c r="C120" s="36" t="s">
        <v>28</v>
      </c>
      <c r="D120" s="36" t="s">
        <v>11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>
        <v>2</v>
      </c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49"/>
      <c r="DJ120" s="49"/>
      <c r="DK120" s="49"/>
      <c r="DL120" s="49"/>
      <c r="DM120" s="49"/>
      <c r="DN120" s="49"/>
      <c r="DO120" s="49"/>
      <c r="DP120" s="55">
        <v>8</v>
      </c>
    </row>
    <row r="121" spans="1:120" hidden="1" x14ac:dyDescent="0.25">
      <c r="A121" s="35">
        <v>115</v>
      </c>
      <c r="B121" s="36" t="s">
        <v>296</v>
      </c>
      <c r="C121" s="36" t="s">
        <v>28</v>
      </c>
      <c r="D121" s="36" t="s">
        <v>11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>
        <v>1</v>
      </c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49"/>
      <c r="DJ121" s="49"/>
      <c r="DK121" s="49"/>
      <c r="DL121" s="49"/>
      <c r="DM121" s="49"/>
      <c r="DN121" s="49"/>
      <c r="DO121" s="49"/>
      <c r="DP121" s="55">
        <v>12</v>
      </c>
    </row>
    <row r="122" spans="1:120" hidden="1" x14ac:dyDescent="0.25">
      <c r="A122" s="35">
        <v>66</v>
      </c>
      <c r="B122" s="36" t="s">
        <v>298</v>
      </c>
      <c r="C122" s="36" t="s">
        <v>28</v>
      </c>
      <c r="D122" s="36" t="s">
        <v>11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>
        <v>4</v>
      </c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49"/>
      <c r="DJ122" s="49"/>
      <c r="DK122" s="49"/>
      <c r="DL122" s="49"/>
      <c r="DM122" s="49"/>
      <c r="DN122" s="49"/>
      <c r="DO122" s="49"/>
      <c r="DP122" s="55">
        <v>2</v>
      </c>
    </row>
    <row r="123" spans="1:120" hidden="1" x14ac:dyDescent="0.25">
      <c r="A123" s="35">
        <v>66</v>
      </c>
      <c r="B123" s="36" t="s">
        <v>298</v>
      </c>
      <c r="C123" s="36" t="s">
        <v>28</v>
      </c>
      <c r="D123" s="36" t="s">
        <v>11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>
        <v>5</v>
      </c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49"/>
      <c r="DJ123" s="49"/>
      <c r="DK123" s="49"/>
      <c r="DL123" s="49"/>
      <c r="DM123" s="49"/>
      <c r="DN123" s="49"/>
      <c r="DO123" s="49"/>
      <c r="DP123" s="55">
        <v>4</v>
      </c>
    </row>
    <row r="124" spans="1:120" hidden="1" x14ac:dyDescent="0.25">
      <c r="A124" s="35">
        <v>66</v>
      </c>
      <c r="B124" s="36" t="s">
        <v>298</v>
      </c>
      <c r="C124" s="36" t="s">
        <v>28</v>
      </c>
      <c r="D124" s="36" t="s">
        <v>11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v>7</v>
      </c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49"/>
      <c r="DJ124" s="49"/>
      <c r="DK124" s="49"/>
      <c r="DL124" s="49"/>
      <c r="DM124" s="49"/>
      <c r="DN124" s="49"/>
      <c r="DO124" s="49"/>
      <c r="DP124" s="55">
        <v>0</v>
      </c>
    </row>
    <row r="125" spans="1:120" hidden="1" x14ac:dyDescent="0.25">
      <c r="A125" s="35">
        <v>66</v>
      </c>
      <c r="B125" s="36" t="s">
        <v>298</v>
      </c>
      <c r="C125" s="36" t="s">
        <v>28</v>
      </c>
      <c r="D125" s="36" t="s">
        <v>11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49"/>
      <c r="DJ125" s="49"/>
      <c r="DK125" s="49"/>
      <c r="DL125" s="49"/>
      <c r="DM125" s="49"/>
      <c r="DN125" s="49"/>
      <c r="DO125" s="49"/>
      <c r="DP125" s="55">
        <v>0</v>
      </c>
    </row>
    <row r="126" spans="1:120" hidden="1" x14ac:dyDescent="0.25">
      <c r="A126" s="35">
        <v>66</v>
      </c>
      <c r="B126" s="36" t="s">
        <v>298</v>
      </c>
      <c r="C126" s="36" t="s">
        <v>28</v>
      </c>
      <c r="D126" s="36" t="s">
        <v>11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>
        <v>2</v>
      </c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49"/>
      <c r="DJ126" s="49"/>
      <c r="DK126" s="49"/>
      <c r="DL126" s="49"/>
      <c r="DM126" s="49"/>
      <c r="DN126" s="49"/>
      <c r="DO126" s="49"/>
      <c r="DP126" s="55">
        <v>0</v>
      </c>
    </row>
    <row r="127" spans="1:120" hidden="1" x14ac:dyDescent="0.25">
      <c r="A127" s="35">
        <v>66</v>
      </c>
      <c r="B127" s="36" t="s">
        <v>298</v>
      </c>
      <c r="C127" s="36" t="s">
        <v>28</v>
      </c>
      <c r="D127" s="36" t="s">
        <v>11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>
        <v>3</v>
      </c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49"/>
      <c r="DJ127" s="49"/>
      <c r="DK127" s="49"/>
      <c r="DL127" s="49"/>
      <c r="DM127" s="49"/>
      <c r="DN127" s="49"/>
      <c r="DO127" s="49"/>
      <c r="DP127" s="55">
        <v>0</v>
      </c>
    </row>
    <row r="128" spans="1:120" hidden="1" x14ac:dyDescent="0.25">
      <c r="A128" s="35">
        <v>101</v>
      </c>
      <c r="B128" s="36" t="s">
        <v>232</v>
      </c>
      <c r="C128" s="36" t="s">
        <v>28</v>
      </c>
      <c r="D128" s="36" t="s">
        <v>11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>
        <v>2</v>
      </c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49"/>
      <c r="DJ128" s="49"/>
      <c r="DK128" s="49"/>
      <c r="DL128" s="49"/>
      <c r="DM128" s="49"/>
      <c r="DN128" s="49"/>
      <c r="DO128" s="49"/>
      <c r="DP128" s="55">
        <v>12</v>
      </c>
    </row>
    <row r="129" spans="1:120" hidden="1" x14ac:dyDescent="0.25">
      <c r="A129" s="35">
        <v>101</v>
      </c>
      <c r="B129" s="36" t="s">
        <v>232</v>
      </c>
      <c r="C129" s="36" t="s">
        <v>28</v>
      </c>
      <c r="D129" s="36" t="s">
        <v>11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>
        <v>1</v>
      </c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49"/>
      <c r="DJ129" s="49"/>
      <c r="DK129" s="49"/>
      <c r="DL129" s="49"/>
      <c r="DM129" s="49"/>
      <c r="DN129" s="49"/>
      <c r="DO129" s="49"/>
      <c r="DP129" s="55">
        <v>0</v>
      </c>
    </row>
    <row r="130" spans="1:120" hidden="1" x14ac:dyDescent="0.25">
      <c r="A130" s="35">
        <v>101</v>
      </c>
      <c r="B130" s="36" t="s">
        <v>232</v>
      </c>
      <c r="C130" s="36" t="s">
        <v>28</v>
      </c>
      <c r="D130" s="36" t="s">
        <v>11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>
        <v>2</v>
      </c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49"/>
      <c r="DJ130" s="49"/>
      <c r="DK130" s="49"/>
      <c r="DL130" s="49"/>
      <c r="DM130" s="49"/>
      <c r="DN130" s="49"/>
      <c r="DO130" s="49"/>
      <c r="DP130" s="55">
        <v>0</v>
      </c>
    </row>
    <row r="131" spans="1:120" hidden="1" x14ac:dyDescent="0.25">
      <c r="A131" s="35">
        <v>92</v>
      </c>
      <c r="B131" s="36" t="s">
        <v>301</v>
      </c>
      <c r="C131" s="36" t="s">
        <v>28</v>
      </c>
      <c r="D131" s="36" t="s">
        <v>11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>
        <v>4</v>
      </c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49"/>
      <c r="DJ131" s="49"/>
      <c r="DK131" s="49"/>
      <c r="DL131" s="49"/>
      <c r="DM131" s="49"/>
      <c r="DN131" s="49"/>
      <c r="DO131" s="49"/>
      <c r="DP131" s="55">
        <v>4</v>
      </c>
    </row>
    <row r="132" spans="1:120" hidden="1" x14ac:dyDescent="0.25">
      <c r="A132" s="35">
        <v>92</v>
      </c>
      <c r="B132" s="36" t="s">
        <v>301</v>
      </c>
      <c r="C132" s="36" t="s">
        <v>28</v>
      </c>
      <c r="D132" s="36" t="s">
        <v>11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>
        <v>4</v>
      </c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49"/>
      <c r="DJ132" s="49"/>
      <c r="DK132" s="49"/>
      <c r="DL132" s="49"/>
      <c r="DM132" s="49"/>
      <c r="DN132" s="49"/>
      <c r="DO132" s="49"/>
      <c r="DP132" s="55">
        <v>0</v>
      </c>
    </row>
    <row r="133" spans="1:120" hidden="1" x14ac:dyDescent="0.25">
      <c r="A133" s="35">
        <v>92</v>
      </c>
      <c r="B133" s="36" t="s">
        <v>301</v>
      </c>
      <c r="C133" s="36" t="s">
        <v>28</v>
      </c>
      <c r="D133" s="36" t="s">
        <v>11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>
        <v>5</v>
      </c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49"/>
      <c r="DJ133" s="49"/>
      <c r="DK133" s="49"/>
      <c r="DL133" s="49"/>
      <c r="DM133" s="49"/>
      <c r="DN133" s="49"/>
      <c r="DO133" s="49"/>
      <c r="DP133" s="55">
        <v>0</v>
      </c>
    </row>
    <row r="134" spans="1:120" hidden="1" x14ac:dyDescent="0.25">
      <c r="A134" s="35">
        <v>67</v>
      </c>
      <c r="B134" s="36" t="s">
        <v>224</v>
      </c>
      <c r="C134" s="36" t="s">
        <v>28</v>
      </c>
      <c r="D134" s="36" t="s">
        <v>11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>
        <v>3</v>
      </c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49"/>
      <c r="DJ134" s="49"/>
      <c r="DK134" s="49"/>
      <c r="DL134" s="49"/>
      <c r="DM134" s="49"/>
      <c r="DN134" s="49"/>
      <c r="DO134" s="49"/>
      <c r="DP134" s="55">
        <v>8</v>
      </c>
    </row>
    <row r="135" spans="1:120" hidden="1" x14ac:dyDescent="0.25">
      <c r="A135" s="35">
        <v>67</v>
      </c>
      <c r="B135" s="36" t="s">
        <v>224</v>
      </c>
      <c r="C135" s="36" t="s">
        <v>28</v>
      </c>
      <c r="D135" s="36" t="s">
        <v>11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>
        <v>5</v>
      </c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49"/>
      <c r="DJ135" s="49"/>
      <c r="DK135" s="49"/>
      <c r="DL135" s="49"/>
      <c r="DM135" s="49"/>
      <c r="DN135" s="49"/>
      <c r="DO135" s="49"/>
      <c r="DP135" s="55">
        <v>4</v>
      </c>
    </row>
    <row r="136" spans="1:120" hidden="1" x14ac:dyDescent="0.25">
      <c r="A136" s="35">
        <v>58</v>
      </c>
      <c r="B136" s="36" t="s">
        <v>304</v>
      </c>
      <c r="C136" s="36" t="s">
        <v>28</v>
      </c>
      <c r="D136" s="36" t="s">
        <v>11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>
        <v>4</v>
      </c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49"/>
      <c r="DJ136" s="49"/>
      <c r="DK136" s="49"/>
      <c r="DL136" s="49"/>
      <c r="DM136" s="49"/>
      <c r="DN136" s="49"/>
      <c r="DO136" s="49"/>
      <c r="DP136" s="55">
        <v>2</v>
      </c>
    </row>
    <row r="137" spans="1:120" hidden="1" x14ac:dyDescent="0.25">
      <c r="A137" s="35">
        <v>58</v>
      </c>
      <c r="B137" s="36" t="s">
        <v>304</v>
      </c>
      <c r="C137" s="36" t="s">
        <v>28</v>
      </c>
      <c r="D137" s="36" t="s">
        <v>11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>
        <v>6</v>
      </c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49"/>
      <c r="DJ137" s="49"/>
      <c r="DK137" s="49"/>
      <c r="DL137" s="49"/>
      <c r="DM137" s="49"/>
      <c r="DN137" s="49"/>
      <c r="DO137" s="49"/>
      <c r="DP137" s="55">
        <v>2</v>
      </c>
    </row>
    <row r="138" spans="1:120" hidden="1" x14ac:dyDescent="0.25">
      <c r="A138" s="35">
        <v>58</v>
      </c>
      <c r="B138" s="36" t="s">
        <v>304</v>
      </c>
      <c r="C138" s="36" t="s">
        <v>28</v>
      </c>
      <c r="D138" s="36" t="s">
        <v>11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>
        <v>6</v>
      </c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49"/>
      <c r="DJ138" s="49"/>
      <c r="DK138" s="49"/>
      <c r="DL138" s="49"/>
      <c r="DM138" s="49"/>
      <c r="DN138" s="49"/>
      <c r="DO138" s="49"/>
      <c r="DP138" s="55">
        <v>2</v>
      </c>
    </row>
    <row r="139" spans="1:120" hidden="1" x14ac:dyDescent="0.25">
      <c r="A139" s="35">
        <v>58</v>
      </c>
      <c r="B139" s="36" t="s">
        <v>304</v>
      </c>
      <c r="C139" s="36" t="s">
        <v>28</v>
      </c>
      <c r="D139" s="36" t="s">
        <v>11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>
        <v>10</v>
      </c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49"/>
      <c r="DJ139" s="49"/>
      <c r="DK139" s="49"/>
      <c r="DL139" s="49"/>
      <c r="DM139" s="49"/>
      <c r="DN139" s="49"/>
      <c r="DO139" s="49"/>
      <c r="DP139" s="55">
        <v>0</v>
      </c>
    </row>
    <row r="140" spans="1:120" hidden="1" x14ac:dyDescent="0.25">
      <c r="A140" s="35">
        <v>58</v>
      </c>
      <c r="B140" s="36" t="s">
        <v>304</v>
      </c>
      <c r="C140" s="36" t="s">
        <v>28</v>
      </c>
      <c r="D140" s="36" t="s">
        <v>11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v>5</v>
      </c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49"/>
      <c r="DJ140" s="49"/>
      <c r="DK140" s="49"/>
      <c r="DL140" s="49"/>
      <c r="DM140" s="49"/>
      <c r="DN140" s="49"/>
      <c r="DO140" s="49"/>
      <c r="DP140" s="55">
        <v>0</v>
      </c>
    </row>
    <row r="141" spans="1:120" hidden="1" x14ac:dyDescent="0.25">
      <c r="A141" s="35">
        <v>58</v>
      </c>
      <c r="B141" s="36" t="s">
        <v>304</v>
      </c>
      <c r="C141" s="36" t="s">
        <v>28</v>
      </c>
      <c r="D141" s="36" t="s">
        <v>11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>
        <v>9</v>
      </c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49"/>
      <c r="DJ141" s="49"/>
      <c r="DK141" s="49"/>
      <c r="DL141" s="49"/>
      <c r="DM141" s="49"/>
      <c r="DN141" s="49"/>
      <c r="DO141" s="49"/>
      <c r="DP141" s="55">
        <v>0</v>
      </c>
    </row>
    <row r="142" spans="1:120" hidden="1" x14ac:dyDescent="0.25">
      <c r="A142" s="35">
        <v>39</v>
      </c>
      <c r="B142" s="36" t="s">
        <v>306</v>
      </c>
      <c r="C142" s="36" t="s">
        <v>28</v>
      </c>
      <c r="D142" s="36" t="s">
        <v>11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>
        <v>2</v>
      </c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49"/>
      <c r="DJ142" s="49"/>
      <c r="DK142" s="49"/>
      <c r="DL142" s="49"/>
      <c r="DM142" s="49"/>
      <c r="DN142" s="49"/>
      <c r="DO142" s="49"/>
      <c r="DP142" s="55">
        <v>4</v>
      </c>
    </row>
    <row r="143" spans="1:120" hidden="1" x14ac:dyDescent="0.25">
      <c r="A143" s="10">
        <v>39</v>
      </c>
      <c r="B143" s="2" t="s">
        <v>306</v>
      </c>
      <c r="C143" s="2" t="s">
        <v>28</v>
      </c>
      <c r="D143" s="2" t="s">
        <v>11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>
        <v>1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1"/>
      <c r="AR143" s="1"/>
      <c r="AS143" s="1"/>
      <c r="AT143" s="1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9"/>
      <c r="DJ143" s="9"/>
      <c r="DK143" s="9"/>
      <c r="DL143" s="9"/>
      <c r="DM143" s="9"/>
      <c r="DN143" s="9"/>
      <c r="DO143" s="9"/>
      <c r="DP143" s="54">
        <v>6</v>
      </c>
    </row>
    <row r="144" spans="1:120" hidden="1" x14ac:dyDescent="0.25">
      <c r="A144" s="10">
        <v>39</v>
      </c>
      <c r="B144" s="2" t="s">
        <v>306</v>
      </c>
      <c r="C144" s="2" t="s">
        <v>28</v>
      </c>
      <c r="D144" s="2" t="s">
        <v>11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>
        <v>1</v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9"/>
      <c r="DJ144" s="9"/>
      <c r="DK144" s="9"/>
      <c r="DL144" s="9"/>
      <c r="DM144" s="9"/>
      <c r="DN144" s="9"/>
      <c r="DO144" s="9"/>
      <c r="DP144" s="54">
        <v>6</v>
      </c>
    </row>
    <row r="145" spans="1:120" hidden="1" x14ac:dyDescent="0.25">
      <c r="A145" s="35">
        <v>59</v>
      </c>
      <c r="B145" s="36" t="s">
        <v>309</v>
      </c>
      <c r="C145" s="36" t="s">
        <v>28</v>
      </c>
      <c r="D145" s="36" t="s">
        <v>11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>
        <v>7</v>
      </c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49"/>
      <c r="DJ145" s="49"/>
      <c r="DK145" s="49"/>
      <c r="DL145" s="49"/>
      <c r="DM145" s="49"/>
      <c r="DN145" s="49"/>
      <c r="DO145" s="49"/>
      <c r="DP145" s="55">
        <v>0</v>
      </c>
    </row>
    <row r="146" spans="1:120" hidden="1" x14ac:dyDescent="0.25">
      <c r="A146" s="35">
        <v>59</v>
      </c>
      <c r="B146" s="36" t="s">
        <v>309</v>
      </c>
      <c r="C146" s="36" t="s">
        <v>28</v>
      </c>
      <c r="D146" s="36" t="s">
        <v>11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>
        <v>2</v>
      </c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49"/>
      <c r="DJ146" s="49"/>
      <c r="DK146" s="49"/>
      <c r="DL146" s="49"/>
      <c r="DM146" s="49"/>
      <c r="DN146" s="49"/>
      <c r="DO146" s="49"/>
      <c r="DP146" s="55">
        <v>8</v>
      </c>
    </row>
    <row r="147" spans="1:120" hidden="1" x14ac:dyDescent="0.25">
      <c r="A147" s="35">
        <v>59</v>
      </c>
      <c r="B147" s="36" t="s">
        <v>309</v>
      </c>
      <c r="C147" s="36" t="s">
        <v>28</v>
      </c>
      <c r="D147" s="36" t="s">
        <v>11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>
        <v>4</v>
      </c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49"/>
      <c r="DJ147" s="49"/>
      <c r="DK147" s="49"/>
      <c r="DL147" s="49"/>
      <c r="DM147" s="49"/>
      <c r="DN147" s="49"/>
      <c r="DO147" s="49"/>
      <c r="DP147" s="55">
        <v>0</v>
      </c>
    </row>
    <row r="148" spans="1:120" hidden="1" x14ac:dyDescent="0.25">
      <c r="A148" s="35">
        <v>59</v>
      </c>
      <c r="B148" s="36" t="s">
        <v>309</v>
      </c>
      <c r="C148" s="36" t="s">
        <v>28</v>
      </c>
      <c r="D148" s="36" t="s">
        <v>11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>
        <v>2</v>
      </c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49"/>
      <c r="DJ148" s="49"/>
      <c r="DK148" s="49"/>
      <c r="DL148" s="49"/>
      <c r="DM148" s="49"/>
      <c r="DN148" s="49"/>
      <c r="DO148" s="49"/>
      <c r="DP148" s="55">
        <v>0</v>
      </c>
    </row>
    <row r="149" spans="1:120" hidden="1" x14ac:dyDescent="0.25">
      <c r="A149" s="35">
        <v>86</v>
      </c>
      <c r="B149" s="36" t="s">
        <v>310</v>
      </c>
      <c r="C149" s="36" t="s">
        <v>28</v>
      </c>
      <c r="D149" s="36" t="s">
        <v>11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>
        <v>3</v>
      </c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49"/>
      <c r="DJ149" s="49"/>
      <c r="DK149" s="49"/>
      <c r="DL149" s="49"/>
      <c r="DM149" s="49"/>
      <c r="DN149" s="49"/>
      <c r="DO149" s="49"/>
      <c r="DP149" s="55">
        <v>4</v>
      </c>
    </row>
    <row r="150" spans="1:120" hidden="1" x14ac:dyDescent="0.25">
      <c r="A150" s="35">
        <v>86</v>
      </c>
      <c r="B150" s="36" t="s">
        <v>310</v>
      </c>
      <c r="C150" s="36" t="s">
        <v>28</v>
      </c>
      <c r="D150" s="36" t="s">
        <v>11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>
        <v>3</v>
      </c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49"/>
      <c r="DJ150" s="49"/>
      <c r="DK150" s="49"/>
      <c r="DL150" s="49"/>
      <c r="DM150" s="49"/>
      <c r="DN150" s="49"/>
      <c r="DO150" s="49"/>
      <c r="DP150" s="55">
        <v>4</v>
      </c>
    </row>
    <row r="151" spans="1:120" hidden="1" x14ac:dyDescent="0.25">
      <c r="A151" s="35">
        <v>86</v>
      </c>
      <c r="B151" s="36" t="s">
        <v>310</v>
      </c>
      <c r="C151" s="36" t="s">
        <v>28</v>
      </c>
      <c r="D151" s="36" t="s">
        <v>11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>
        <v>3</v>
      </c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49"/>
      <c r="DJ151" s="49"/>
      <c r="DK151" s="49"/>
      <c r="DL151" s="49"/>
      <c r="DM151" s="49"/>
      <c r="DN151" s="49"/>
      <c r="DO151" s="49"/>
      <c r="DP151" s="55">
        <v>8</v>
      </c>
    </row>
    <row r="152" spans="1:120" hidden="1" x14ac:dyDescent="0.25">
      <c r="A152" s="35">
        <v>86</v>
      </c>
      <c r="B152" s="36" t="s">
        <v>310</v>
      </c>
      <c r="C152" s="36" t="s">
        <v>28</v>
      </c>
      <c r="D152" s="36" t="s">
        <v>11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v>3</v>
      </c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9"/>
      <c r="BD152" s="39"/>
      <c r="BE152" s="39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49"/>
      <c r="DJ152" s="51"/>
      <c r="DK152" s="51"/>
      <c r="DL152" s="51"/>
      <c r="DM152" s="51"/>
      <c r="DN152" s="51"/>
      <c r="DO152" s="51"/>
      <c r="DP152" s="55">
        <v>0</v>
      </c>
    </row>
    <row r="153" spans="1:120" hidden="1" x14ac:dyDescent="0.25">
      <c r="A153" s="35">
        <v>86</v>
      </c>
      <c r="B153" s="36" t="s">
        <v>310</v>
      </c>
      <c r="C153" s="36" t="s">
        <v>28</v>
      </c>
      <c r="D153" s="36" t="s">
        <v>11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>
        <v>3</v>
      </c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55">
        <v>0</v>
      </c>
    </row>
    <row r="154" spans="1:120" hidden="1" x14ac:dyDescent="0.25">
      <c r="A154" s="35">
        <v>86</v>
      </c>
      <c r="B154" s="36" t="s">
        <v>310</v>
      </c>
      <c r="C154" s="36" t="s">
        <v>28</v>
      </c>
      <c r="D154" s="36" t="s">
        <v>11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>
        <v>2</v>
      </c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55">
        <v>0</v>
      </c>
    </row>
    <row r="155" spans="1:120" hidden="1" x14ac:dyDescent="0.25">
      <c r="A155" s="35">
        <v>93</v>
      </c>
      <c r="B155" s="36" t="s">
        <v>236</v>
      </c>
      <c r="C155" s="36" t="s">
        <v>28</v>
      </c>
      <c r="D155" s="36" t="s">
        <v>11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>
        <v>2</v>
      </c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56">
        <v>8</v>
      </c>
    </row>
    <row r="156" spans="1:120" hidden="1" x14ac:dyDescent="0.25">
      <c r="A156" s="35">
        <v>93</v>
      </c>
      <c r="B156" s="36" t="s">
        <v>236</v>
      </c>
      <c r="C156" s="36" t="s">
        <v>28</v>
      </c>
      <c r="D156" s="36" t="s">
        <v>11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>
        <v>2</v>
      </c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56">
        <v>12</v>
      </c>
    </row>
    <row r="157" spans="1:120" hidden="1" x14ac:dyDescent="0.25">
      <c r="A157" s="35">
        <v>93</v>
      </c>
      <c r="B157" s="36" t="s">
        <v>236</v>
      </c>
      <c r="C157" s="36" t="s">
        <v>28</v>
      </c>
      <c r="D157" s="36" t="s">
        <v>11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>
        <v>1</v>
      </c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55">
        <v>0</v>
      </c>
    </row>
    <row r="158" spans="1:120" hidden="1" x14ac:dyDescent="0.25">
      <c r="A158" s="35">
        <v>93</v>
      </c>
      <c r="B158" s="36" t="s">
        <v>236</v>
      </c>
      <c r="C158" s="36" t="s">
        <v>28</v>
      </c>
      <c r="D158" s="36" t="s">
        <v>11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>
        <v>1</v>
      </c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55">
        <v>0</v>
      </c>
    </row>
    <row r="159" spans="1:120" hidden="1" x14ac:dyDescent="0.25">
      <c r="A159" s="35">
        <v>105</v>
      </c>
      <c r="B159" s="36" t="s">
        <v>311</v>
      </c>
      <c r="C159" s="36" t="s">
        <v>28</v>
      </c>
      <c r="D159" s="36" t="s">
        <v>11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>
        <v>1</v>
      </c>
      <c r="DP159" s="56">
        <v>6</v>
      </c>
    </row>
    <row r="160" spans="1:120" hidden="1" x14ac:dyDescent="0.25">
      <c r="A160" s="35">
        <v>105</v>
      </c>
      <c r="B160" s="36" t="s">
        <v>311</v>
      </c>
      <c r="C160" s="36" t="s">
        <v>28</v>
      </c>
      <c r="D160" s="36" t="s">
        <v>11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>
        <v>2</v>
      </c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56">
        <v>4</v>
      </c>
    </row>
    <row r="161" spans="1:120" hidden="1" x14ac:dyDescent="0.25">
      <c r="A161" s="35">
        <v>105</v>
      </c>
      <c r="B161" s="36" t="s">
        <v>311</v>
      </c>
      <c r="C161" s="36" t="s">
        <v>28</v>
      </c>
      <c r="D161" s="36" t="s">
        <v>11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>
        <v>1</v>
      </c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56">
        <v>6</v>
      </c>
    </row>
    <row r="162" spans="1:120" hidden="1" x14ac:dyDescent="0.25">
      <c r="A162" s="35">
        <v>105</v>
      </c>
      <c r="B162" s="36" t="s">
        <v>311</v>
      </c>
      <c r="C162" s="36" t="s">
        <v>28</v>
      </c>
      <c r="D162" s="36" t="s">
        <v>11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>
        <v>6</v>
      </c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56">
        <v>4</v>
      </c>
    </row>
    <row r="163" spans="1:120" hidden="1" x14ac:dyDescent="0.25">
      <c r="A163" s="35">
        <v>76</v>
      </c>
      <c r="B163" s="36" t="s">
        <v>313</v>
      </c>
      <c r="C163" s="36" t="s">
        <v>28</v>
      </c>
      <c r="D163" s="36" t="s">
        <v>11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>
        <v>2</v>
      </c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56">
        <v>4</v>
      </c>
    </row>
    <row r="164" spans="1:120" hidden="1" x14ac:dyDescent="0.25">
      <c r="A164" s="35">
        <v>76</v>
      </c>
      <c r="B164" s="36" t="s">
        <v>313</v>
      </c>
      <c r="C164" s="36" t="s">
        <v>28</v>
      </c>
      <c r="D164" s="36" t="s">
        <v>11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>
        <v>3</v>
      </c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56">
        <v>4</v>
      </c>
    </row>
    <row r="165" spans="1:120" hidden="1" x14ac:dyDescent="0.25">
      <c r="A165" s="35">
        <v>76</v>
      </c>
      <c r="B165" s="36" t="s">
        <v>313</v>
      </c>
      <c r="C165" s="36" t="s">
        <v>28</v>
      </c>
      <c r="D165" s="36" t="s">
        <v>11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>
        <v>2</v>
      </c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56">
        <v>4</v>
      </c>
    </row>
    <row r="166" spans="1:120" hidden="1" x14ac:dyDescent="0.25">
      <c r="A166" s="35">
        <v>76</v>
      </c>
      <c r="B166" s="36" t="s">
        <v>313</v>
      </c>
      <c r="C166" s="36" t="s">
        <v>28</v>
      </c>
      <c r="D166" s="36" t="s">
        <v>11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>
        <v>3</v>
      </c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56">
        <v>4</v>
      </c>
    </row>
    <row r="167" spans="1:120" hidden="1" x14ac:dyDescent="0.25">
      <c r="A167" s="38">
        <v>76</v>
      </c>
      <c r="B167" s="36" t="s">
        <v>313</v>
      </c>
      <c r="C167" s="39" t="s">
        <v>28</v>
      </c>
      <c r="D167" s="39" t="s">
        <v>11</v>
      </c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>
        <v>2</v>
      </c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58">
        <v>4</v>
      </c>
    </row>
    <row r="168" spans="1:120" hidden="1" x14ac:dyDescent="0.25">
      <c r="A168" s="35">
        <v>97</v>
      </c>
      <c r="B168" s="36" t="s">
        <v>237</v>
      </c>
      <c r="C168" s="36" t="s">
        <v>28</v>
      </c>
      <c r="D168" s="36" t="s">
        <v>11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>
        <v>2</v>
      </c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56">
        <v>12</v>
      </c>
    </row>
    <row r="169" spans="1:120" hidden="1" x14ac:dyDescent="0.25">
      <c r="A169" s="38">
        <v>97</v>
      </c>
      <c r="B169" s="39" t="s">
        <v>237</v>
      </c>
      <c r="C169" s="39" t="s">
        <v>28</v>
      </c>
      <c r="D169" s="39" t="s">
        <v>11</v>
      </c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>
        <v>2</v>
      </c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58">
        <v>12</v>
      </c>
    </row>
    <row r="170" spans="1:120" hidden="1" x14ac:dyDescent="0.25">
      <c r="A170" s="35">
        <v>97</v>
      </c>
      <c r="B170" s="36" t="s">
        <v>237</v>
      </c>
      <c r="C170" s="36" t="s">
        <v>28</v>
      </c>
      <c r="D170" s="36" t="s">
        <v>11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>
        <v>3</v>
      </c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55">
        <v>0</v>
      </c>
    </row>
    <row r="171" spans="1:120" hidden="1" x14ac:dyDescent="0.25">
      <c r="A171" s="35">
        <v>97</v>
      </c>
      <c r="B171" s="36" t="s">
        <v>237</v>
      </c>
      <c r="C171" s="36" t="s">
        <v>28</v>
      </c>
      <c r="D171" s="36" t="s">
        <v>11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>
        <v>3</v>
      </c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55">
        <v>0</v>
      </c>
    </row>
    <row r="172" spans="1:120" hidden="1" x14ac:dyDescent="0.25">
      <c r="A172" s="10">
        <v>43</v>
      </c>
      <c r="B172" s="2" t="s">
        <v>319</v>
      </c>
      <c r="C172" s="2" t="s">
        <v>28</v>
      </c>
      <c r="D172" s="2" t="s">
        <v>11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 t="s">
        <v>86</v>
      </c>
      <c r="Z172" s="2"/>
      <c r="AA172" s="2"/>
      <c r="AB172" s="2"/>
      <c r="AC172" s="2"/>
      <c r="AD172" s="2"/>
      <c r="AE172" s="2"/>
      <c r="AF172" s="2"/>
      <c r="AG172" s="1"/>
      <c r="AH172" s="1"/>
      <c r="AI172" s="1"/>
      <c r="AJ172" s="1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14"/>
      <c r="CM172" s="2"/>
      <c r="CN172" s="2"/>
      <c r="CO172" s="2"/>
      <c r="CP172" s="2"/>
      <c r="CQ172" s="14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55">
        <v>0</v>
      </c>
    </row>
    <row r="173" spans="1:120" hidden="1" x14ac:dyDescent="0.25">
      <c r="A173" s="35">
        <v>69</v>
      </c>
      <c r="B173" s="36" t="s">
        <v>320</v>
      </c>
      <c r="C173" s="36" t="s">
        <v>28</v>
      </c>
      <c r="D173" s="36" t="s">
        <v>11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>
        <v>6</v>
      </c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56">
        <v>4</v>
      </c>
    </row>
    <row r="174" spans="1:120" hidden="1" x14ac:dyDescent="0.25">
      <c r="A174" s="35">
        <v>69</v>
      </c>
      <c r="B174" s="36" t="s">
        <v>320</v>
      </c>
      <c r="C174" s="36" t="s">
        <v>28</v>
      </c>
      <c r="D174" s="36" t="s">
        <v>11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>
        <v>8</v>
      </c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55">
        <v>0</v>
      </c>
    </row>
    <row r="175" spans="1:120" hidden="1" x14ac:dyDescent="0.25">
      <c r="A175" s="35">
        <v>69</v>
      </c>
      <c r="B175" s="36" t="s">
        <v>320</v>
      </c>
      <c r="C175" s="36" t="s">
        <v>28</v>
      </c>
      <c r="D175" s="36" t="s">
        <v>11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>
        <v>1</v>
      </c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55">
        <v>0</v>
      </c>
    </row>
    <row r="176" spans="1:120" hidden="1" x14ac:dyDescent="0.25">
      <c r="A176" s="35">
        <v>69</v>
      </c>
      <c r="B176" s="36" t="s">
        <v>320</v>
      </c>
      <c r="C176" s="36" t="s">
        <v>28</v>
      </c>
      <c r="D176" s="36" t="s">
        <v>11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>
        <v>5</v>
      </c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55">
        <v>0</v>
      </c>
    </row>
    <row r="177" spans="1:120" hidden="1" x14ac:dyDescent="0.25">
      <c r="A177" s="35">
        <v>69</v>
      </c>
      <c r="B177" s="36" t="s">
        <v>320</v>
      </c>
      <c r="C177" s="36" t="s">
        <v>28</v>
      </c>
      <c r="D177" s="36" t="s">
        <v>11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>
        <v>6</v>
      </c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55">
        <v>0</v>
      </c>
    </row>
    <row r="178" spans="1:120" hidden="1" x14ac:dyDescent="0.25">
      <c r="A178" s="35">
        <v>100</v>
      </c>
      <c r="B178" s="36" t="s">
        <v>321</v>
      </c>
      <c r="C178" s="36" t="s">
        <v>28</v>
      </c>
      <c r="D178" s="36" t="s">
        <v>11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>
        <v>1</v>
      </c>
      <c r="DL178" s="36"/>
      <c r="DM178" s="36"/>
      <c r="DN178" s="36"/>
      <c r="DO178" s="36"/>
      <c r="DP178" s="56">
        <v>6</v>
      </c>
    </row>
    <row r="179" spans="1:120" hidden="1" x14ac:dyDescent="0.25">
      <c r="A179" s="35">
        <v>100</v>
      </c>
      <c r="B179" s="36" t="s">
        <v>321</v>
      </c>
      <c r="C179" s="36" t="s">
        <v>28</v>
      </c>
      <c r="D179" s="36" t="s">
        <v>11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>
        <v>5</v>
      </c>
      <c r="DI179" s="36"/>
      <c r="DJ179" s="36"/>
      <c r="DK179" s="36"/>
      <c r="DL179" s="36"/>
      <c r="DM179" s="36"/>
      <c r="DN179" s="36"/>
      <c r="DO179" s="36"/>
      <c r="DP179" s="56">
        <v>2</v>
      </c>
    </row>
    <row r="180" spans="1:120" hidden="1" x14ac:dyDescent="0.25">
      <c r="A180" s="35">
        <v>100</v>
      </c>
      <c r="B180" s="36" t="s">
        <v>321</v>
      </c>
      <c r="C180" s="36" t="s">
        <v>28</v>
      </c>
      <c r="D180" s="36" t="s">
        <v>11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>
        <v>3</v>
      </c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56">
        <v>8</v>
      </c>
    </row>
    <row r="181" spans="1:120" hidden="1" x14ac:dyDescent="0.25">
      <c r="A181" s="35">
        <v>100</v>
      </c>
      <c r="B181" s="36" t="s">
        <v>321</v>
      </c>
      <c r="C181" s="36" t="s">
        <v>28</v>
      </c>
      <c r="D181" s="36" t="s">
        <v>11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>
        <v>5</v>
      </c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56">
        <v>4</v>
      </c>
    </row>
    <row r="182" spans="1:120" hidden="1" x14ac:dyDescent="0.25">
      <c r="A182" s="35">
        <v>98</v>
      </c>
      <c r="B182" s="36" t="s">
        <v>322</v>
      </c>
      <c r="C182" s="36" t="s">
        <v>28</v>
      </c>
      <c r="D182" s="36" t="s">
        <v>11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>
        <v>8</v>
      </c>
      <c r="DP182" s="55">
        <v>0</v>
      </c>
    </row>
    <row r="183" spans="1:120" hidden="1" x14ac:dyDescent="0.25">
      <c r="A183" s="35">
        <v>98</v>
      </c>
      <c r="B183" s="36" t="s">
        <v>322</v>
      </c>
      <c r="C183" s="36" t="s">
        <v>28</v>
      </c>
      <c r="D183" s="36" t="s">
        <v>11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>
        <v>6</v>
      </c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56">
        <v>2</v>
      </c>
    </row>
    <row r="184" spans="1:120" hidden="1" x14ac:dyDescent="0.25">
      <c r="A184" s="35">
        <v>112</v>
      </c>
      <c r="B184" s="36" t="s">
        <v>238</v>
      </c>
      <c r="C184" s="36" t="s">
        <v>28</v>
      </c>
      <c r="D184" s="36" t="s">
        <v>11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>
        <v>2</v>
      </c>
      <c r="DJ184" s="36"/>
      <c r="DK184" s="36"/>
      <c r="DL184" s="36"/>
      <c r="DM184" s="36"/>
      <c r="DN184" s="36"/>
      <c r="DO184" s="36"/>
      <c r="DP184" s="56">
        <v>8</v>
      </c>
    </row>
    <row r="185" spans="1:120" hidden="1" x14ac:dyDescent="0.25">
      <c r="A185" s="38">
        <v>112</v>
      </c>
      <c r="B185" s="39" t="s">
        <v>238</v>
      </c>
      <c r="C185" s="39" t="s">
        <v>28</v>
      </c>
      <c r="D185" s="39" t="s">
        <v>11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>
        <v>1</v>
      </c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58">
        <v>12</v>
      </c>
    </row>
    <row r="186" spans="1:120" hidden="1" x14ac:dyDescent="0.25">
      <c r="A186" s="35">
        <v>112</v>
      </c>
      <c r="B186" s="36" t="s">
        <v>238</v>
      </c>
      <c r="C186" s="36" t="s">
        <v>28</v>
      </c>
      <c r="D186" s="36" t="s">
        <v>11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>
        <v>1</v>
      </c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56">
        <v>18</v>
      </c>
    </row>
    <row r="187" spans="1:120" hidden="1" x14ac:dyDescent="0.25">
      <c r="A187" s="35">
        <v>112</v>
      </c>
      <c r="B187" s="36" t="s">
        <v>238</v>
      </c>
      <c r="C187" s="36" t="s">
        <v>28</v>
      </c>
      <c r="D187" s="36" t="s">
        <v>11</v>
      </c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>
        <v>2</v>
      </c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55">
        <v>0</v>
      </c>
    </row>
    <row r="188" spans="1:120" hidden="1" x14ac:dyDescent="0.25">
      <c r="A188" s="35">
        <v>68</v>
      </c>
      <c r="B188" s="36" t="s">
        <v>325</v>
      </c>
      <c r="C188" s="36" t="s">
        <v>28</v>
      </c>
      <c r="D188" s="36" t="s">
        <v>11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>
        <v>7</v>
      </c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55">
        <v>0</v>
      </c>
    </row>
    <row r="189" spans="1:120" hidden="1" x14ac:dyDescent="0.25">
      <c r="A189" s="35">
        <v>88</v>
      </c>
      <c r="B189" s="36" t="s">
        <v>330</v>
      </c>
      <c r="C189" s="36" t="s">
        <v>28</v>
      </c>
      <c r="D189" s="36" t="s">
        <v>11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>
        <v>5</v>
      </c>
      <c r="DP189" s="56">
        <v>2</v>
      </c>
    </row>
    <row r="190" spans="1:120" hidden="1" x14ac:dyDescent="0.25">
      <c r="A190" s="35">
        <v>88</v>
      </c>
      <c r="B190" s="36" t="s">
        <v>330</v>
      </c>
      <c r="C190" s="36" t="s">
        <v>28</v>
      </c>
      <c r="D190" s="36" t="s">
        <v>11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>
        <v>5</v>
      </c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56">
        <v>2</v>
      </c>
    </row>
    <row r="191" spans="1:120" hidden="1" x14ac:dyDescent="0.25">
      <c r="A191" s="35">
        <v>74</v>
      </c>
      <c r="B191" s="36" t="s">
        <v>240</v>
      </c>
      <c r="C191" s="36" t="s">
        <v>28</v>
      </c>
      <c r="D191" s="36" t="s">
        <v>11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>
        <v>1</v>
      </c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56">
        <v>12</v>
      </c>
    </row>
    <row r="192" spans="1:120" hidden="1" x14ac:dyDescent="0.25">
      <c r="A192" s="35">
        <v>74</v>
      </c>
      <c r="B192" s="36" t="s">
        <v>240</v>
      </c>
      <c r="C192" s="36" t="s">
        <v>28</v>
      </c>
      <c r="D192" s="36" t="s">
        <v>11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>
        <v>1</v>
      </c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56">
        <v>12</v>
      </c>
    </row>
    <row r="193" spans="1:120" hidden="1" x14ac:dyDescent="0.25">
      <c r="A193" s="38">
        <v>74</v>
      </c>
      <c r="B193" s="39" t="s">
        <v>240</v>
      </c>
      <c r="C193" s="39" t="s">
        <v>28</v>
      </c>
      <c r="D193" s="39" t="s">
        <v>11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>
        <v>2</v>
      </c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58">
        <v>8</v>
      </c>
    </row>
    <row r="194" spans="1:120" hidden="1" x14ac:dyDescent="0.25">
      <c r="A194" s="35">
        <v>74</v>
      </c>
      <c r="B194" s="36" t="s">
        <v>240</v>
      </c>
      <c r="C194" s="36" t="s">
        <v>28</v>
      </c>
      <c r="D194" s="36" t="s">
        <v>11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>
        <v>3</v>
      </c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56">
        <v>8</v>
      </c>
    </row>
    <row r="195" spans="1:120" hidden="1" x14ac:dyDescent="0.25">
      <c r="A195" s="35">
        <v>282</v>
      </c>
      <c r="B195" s="36" t="s">
        <v>334</v>
      </c>
      <c r="C195" s="36" t="s">
        <v>28</v>
      </c>
      <c r="D195" s="36" t="s">
        <v>11</v>
      </c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>
        <v>1</v>
      </c>
      <c r="DK195" s="36"/>
      <c r="DL195" s="36"/>
      <c r="DM195" s="36"/>
      <c r="DN195" s="36"/>
      <c r="DO195" s="36"/>
      <c r="DP195" s="56">
        <v>6</v>
      </c>
    </row>
    <row r="196" spans="1:120" hidden="1" x14ac:dyDescent="0.25">
      <c r="A196" s="35">
        <v>282</v>
      </c>
      <c r="B196" s="36" t="s">
        <v>334</v>
      </c>
      <c r="C196" s="36" t="s">
        <v>28</v>
      </c>
      <c r="D196" s="36" t="s">
        <v>11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>
        <v>1</v>
      </c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56">
        <v>6</v>
      </c>
    </row>
    <row r="197" spans="1:120" hidden="1" x14ac:dyDescent="0.25">
      <c r="A197" s="38">
        <v>282</v>
      </c>
      <c r="B197" s="39" t="s">
        <v>334</v>
      </c>
      <c r="C197" s="39" t="s">
        <v>28</v>
      </c>
      <c r="D197" s="39" t="s">
        <v>11</v>
      </c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>
        <v>1</v>
      </c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58">
        <v>6</v>
      </c>
    </row>
    <row r="198" spans="1:120" hidden="1" x14ac:dyDescent="0.25">
      <c r="A198" s="35">
        <v>282</v>
      </c>
      <c r="B198" s="36" t="s">
        <v>334</v>
      </c>
      <c r="C198" s="36" t="s">
        <v>28</v>
      </c>
      <c r="D198" s="36" t="s">
        <v>11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>
        <v>1</v>
      </c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56">
        <v>12</v>
      </c>
    </row>
    <row r="199" spans="1:120" hidden="1" x14ac:dyDescent="0.25">
      <c r="A199" s="35">
        <v>282</v>
      </c>
      <c r="B199" s="36" t="s">
        <v>334</v>
      </c>
      <c r="C199" s="36" t="s">
        <v>28</v>
      </c>
      <c r="D199" s="36" t="s">
        <v>11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>
        <v>3</v>
      </c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56">
        <v>8</v>
      </c>
    </row>
    <row r="200" spans="1:120" hidden="1" x14ac:dyDescent="0.25">
      <c r="A200" s="35">
        <v>282</v>
      </c>
      <c r="B200" s="36" t="s">
        <v>334</v>
      </c>
      <c r="C200" s="36" t="s">
        <v>28</v>
      </c>
      <c r="D200" s="36" t="s">
        <v>11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>
        <v>2</v>
      </c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55">
        <v>0</v>
      </c>
    </row>
    <row r="201" spans="1:120" hidden="1" x14ac:dyDescent="0.25">
      <c r="A201" s="35">
        <v>62</v>
      </c>
      <c r="B201" s="36" t="s">
        <v>338</v>
      </c>
      <c r="C201" s="36" t="s">
        <v>28</v>
      </c>
      <c r="D201" s="36" t="s">
        <v>11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>
        <v>10</v>
      </c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55">
        <v>0</v>
      </c>
    </row>
    <row r="202" spans="1:120" hidden="1" x14ac:dyDescent="0.25">
      <c r="A202" s="35">
        <v>102</v>
      </c>
      <c r="B202" s="36" t="s">
        <v>339</v>
      </c>
      <c r="C202" s="42" t="s">
        <v>28</v>
      </c>
      <c r="D202" s="36" t="s">
        <v>11</v>
      </c>
      <c r="E202" s="36"/>
      <c r="F202" s="36" t="s">
        <v>109</v>
      </c>
      <c r="G202" s="36" t="s">
        <v>11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>
        <v>1</v>
      </c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55">
        <v>0</v>
      </c>
    </row>
    <row r="203" spans="1:120" hidden="1" x14ac:dyDescent="0.25">
      <c r="A203" s="35">
        <v>102</v>
      </c>
      <c r="B203" s="36" t="s">
        <v>241</v>
      </c>
      <c r="C203" s="36" t="s">
        <v>28</v>
      </c>
      <c r="D203" s="36" t="s">
        <v>11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>
        <v>4</v>
      </c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56">
        <v>6</v>
      </c>
    </row>
    <row r="204" spans="1:120" hidden="1" x14ac:dyDescent="0.25">
      <c r="A204" s="35">
        <v>102</v>
      </c>
      <c r="B204" s="36" t="s">
        <v>241</v>
      </c>
      <c r="C204" s="36" t="s">
        <v>28</v>
      </c>
      <c r="D204" s="36" t="s">
        <v>11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>
        <v>3</v>
      </c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55">
        <v>0</v>
      </c>
    </row>
    <row r="205" spans="1:120" hidden="1" x14ac:dyDescent="0.25">
      <c r="A205" s="35">
        <v>102</v>
      </c>
      <c r="B205" s="36" t="s">
        <v>241</v>
      </c>
      <c r="C205" s="36" t="s">
        <v>28</v>
      </c>
      <c r="D205" s="36" t="s">
        <v>11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>
        <v>5</v>
      </c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55">
        <v>0</v>
      </c>
    </row>
    <row r="206" spans="1:120" hidden="1" x14ac:dyDescent="0.25">
      <c r="A206" s="38">
        <v>102</v>
      </c>
      <c r="B206" s="39" t="s">
        <v>241</v>
      </c>
      <c r="C206" s="39" t="s">
        <v>28</v>
      </c>
      <c r="D206" s="39" t="s">
        <v>11</v>
      </c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>
        <v>4</v>
      </c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55">
        <v>0</v>
      </c>
    </row>
    <row r="207" spans="1:120" hidden="1" x14ac:dyDescent="0.25">
      <c r="A207" s="35">
        <v>60</v>
      </c>
      <c r="B207" s="36" t="s">
        <v>340</v>
      </c>
      <c r="C207" s="36" t="s">
        <v>28</v>
      </c>
      <c r="D207" s="36" t="s">
        <v>11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>
        <v>3</v>
      </c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56">
        <v>4</v>
      </c>
    </row>
    <row r="208" spans="1:120" hidden="1" x14ac:dyDescent="0.25">
      <c r="A208" s="35">
        <v>60</v>
      </c>
      <c r="B208" s="36" t="s">
        <v>340</v>
      </c>
      <c r="C208" s="36" t="s">
        <v>28</v>
      </c>
      <c r="D208" s="36" t="s">
        <v>11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>
        <v>4</v>
      </c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56">
        <v>2</v>
      </c>
    </row>
    <row r="209" spans="1:120" hidden="1" x14ac:dyDescent="0.25">
      <c r="A209" s="38">
        <v>35</v>
      </c>
      <c r="B209" s="39" t="s">
        <v>341</v>
      </c>
      <c r="C209" s="39" t="s">
        <v>28</v>
      </c>
      <c r="D209" s="39" t="s">
        <v>11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>
        <v>4</v>
      </c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58">
        <v>2</v>
      </c>
    </row>
    <row r="210" spans="1:120" hidden="1" x14ac:dyDescent="0.25">
      <c r="A210" s="10">
        <v>35</v>
      </c>
      <c r="B210" s="2" t="s">
        <v>341</v>
      </c>
      <c r="C210" s="2" t="s">
        <v>28</v>
      </c>
      <c r="D210" s="2" t="s">
        <v>11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>
        <v>5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57">
        <v>2</v>
      </c>
    </row>
    <row r="211" spans="1:120" hidden="1" x14ac:dyDescent="0.25">
      <c r="A211" s="10">
        <v>35</v>
      </c>
      <c r="B211" s="2" t="s">
        <v>341</v>
      </c>
      <c r="C211" s="2" t="s">
        <v>28</v>
      </c>
      <c r="D211" s="2" t="s">
        <v>11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>
        <v>3</v>
      </c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57">
        <v>4</v>
      </c>
    </row>
    <row r="212" spans="1:120" hidden="1" x14ac:dyDescent="0.25">
      <c r="A212" s="10">
        <v>35</v>
      </c>
      <c r="B212" s="2" t="s">
        <v>341</v>
      </c>
      <c r="C212" s="2" t="s">
        <v>28</v>
      </c>
      <c r="D212" s="2" t="s">
        <v>11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>
        <v>3</v>
      </c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57">
        <v>4</v>
      </c>
    </row>
    <row r="213" spans="1:120" hidden="1" x14ac:dyDescent="0.25">
      <c r="A213" s="44">
        <v>35</v>
      </c>
      <c r="B213" s="19" t="s">
        <v>341</v>
      </c>
      <c r="C213" s="19" t="s">
        <v>28</v>
      </c>
      <c r="D213" s="19" t="s">
        <v>11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>
        <v>5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59">
        <v>2</v>
      </c>
    </row>
    <row r="214" spans="1:120" hidden="1" x14ac:dyDescent="0.25">
      <c r="A214" s="10">
        <v>35</v>
      </c>
      <c r="B214" s="2" t="s">
        <v>341</v>
      </c>
      <c r="C214" s="2" t="s">
        <v>28</v>
      </c>
      <c r="D214" s="2" t="s">
        <v>11</v>
      </c>
      <c r="E214" s="2"/>
      <c r="F214" s="2"/>
      <c r="G214" s="2">
        <v>3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55">
        <v>0</v>
      </c>
    </row>
    <row r="215" spans="1:120" hidden="1" x14ac:dyDescent="0.25">
      <c r="A215" s="35">
        <v>118</v>
      </c>
      <c r="B215" s="36" t="s">
        <v>342</v>
      </c>
      <c r="C215" s="36" t="s">
        <v>28</v>
      </c>
      <c r="D215" s="36" t="s">
        <v>11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>
        <v>2</v>
      </c>
      <c r="DN215" s="36"/>
      <c r="DO215" s="36"/>
      <c r="DP215" s="56">
        <v>4</v>
      </c>
    </row>
    <row r="216" spans="1:120" hidden="1" x14ac:dyDescent="0.25">
      <c r="A216" s="35">
        <v>118</v>
      </c>
      <c r="B216" s="36" t="s">
        <v>342</v>
      </c>
      <c r="C216" s="36" t="s">
        <v>28</v>
      </c>
      <c r="D216" s="36" t="s">
        <v>11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>
        <v>4</v>
      </c>
      <c r="DK216" s="36"/>
      <c r="DL216" s="36"/>
      <c r="DM216" s="36"/>
      <c r="DN216" s="36"/>
      <c r="DO216" s="36"/>
      <c r="DP216" s="56">
        <v>2</v>
      </c>
    </row>
    <row r="217" spans="1:120" hidden="1" x14ac:dyDescent="0.25">
      <c r="A217" s="35">
        <v>118</v>
      </c>
      <c r="B217" s="36" t="s">
        <v>342</v>
      </c>
      <c r="C217" s="36" t="s">
        <v>28</v>
      </c>
      <c r="D217" s="36" t="s">
        <v>11</v>
      </c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>
        <v>5</v>
      </c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56">
        <v>2</v>
      </c>
    </row>
    <row r="218" spans="1:120" hidden="1" x14ac:dyDescent="0.25">
      <c r="A218" s="35">
        <v>118</v>
      </c>
      <c r="B218" s="36" t="s">
        <v>342</v>
      </c>
      <c r="C218" s="36" t="s">
        <v>28</v>
      </c>
      <c r="D218" s="36" t="s">
        <v>11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>
        <v>4</v>
      </c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56">
        <v>4</v>
      </c>
    </row>
    <row r="219" spans="1:120" hidden="1" x14ac:dyDescent="0.25">
      <c r="A219" s="35">
        <v>118</v>
      </c>
      <c r="B219" s="36" t="s">
        <v>342</v>
      </c>
      <c r="C219" s="36" t="s">
        <v>28</v>
      </c>
      <c r="D219" s="36" t="s">
        <v>11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>
        <v>4</v>
      </c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56">
        <v>4</v>
      </c>
    </row>
    <row r="220" spans="1:120" hidden="1" x14ac:dyDescent="0.25">
      <c r="A220" s="10">
        <v>29</v>
      </c>
      <c r="B220" s="2" t="s">
        <v>343</v>
      </c>
      <c r="C220" s="2" t="s">
        <v>28</v>
      </c>
      <c r="D220" s="2" t="s">
        <v>11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 t="s">
        <v>139</v>
      </c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55">
        <v>0</v>
      </c>
    </row>
    <row r="221" spans="1:120" hidden="1" x14ac:dyDescent="0.25">
      <c r="A221" s="10">
        <v>29</v>
      </c>
      <c r="B221" s="2" t="s">
        <v>343</v>
      </c>
      <c r="C221" s="2" t="s">
        <v>28</v>
      </c>
      <c r="D221" s="2" t="s">
        <v>11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 t="s">
        <v>137</v>
      </c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55">
        <v>0</v>
      </c>
    </row>
    <row r="222" spans="1:120" hidden="1" x14ac:dyDescent="0.25">
      <c r="A222" s="35">
        <v>278</v>
      </c>
      <c r="B222" s="36" t="s">
        <v>242</v>
      </c>
      <c r="C222" s="36" t="s">
        <v>28</v>
      </c>
      <c r="D222" s="36" t="s">
        <v>11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>
        <v>3</v>
      </c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56">
        <v>8</v>
      </c>
    </row>
    <row r="223" spans="1:120" hidden="1" x14ac:dyDescent="0.25">
      <c r="A223" s="38">
        <v>278</v>
      </c>
      <c r="B223" s="39" t="s">
        <v>242</v>
      </c>
      <c r="C223" s="39" t="s">
        <v>28</v>
      </c>
      <c r="D223" s="39" t="s">
        <v>11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>
        <v>2</v>
      </c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58">
        <v>8</v>
      </c>
    </row>
    <row r="224" spans="1:120" hidden="1" x14ac:dyDescent="0.25">
      <c r="A224" s="35">
        <v>278</v>
      </c>
      <c r="B224" s="36" t="s">
        <v>242</v>
      </c>
      <c r="C224" s="36" t="s">
        <v>28</v>
      </c>
      <c r="D224" s="36" t="s">
        <v>11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>
        <v>2</v>
      </c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56">
        <v>8</v>
      </c>
    </row>
    <row r="225" spans="1:120" hidden="1" x14ac:dyDescent="0.25">
      <c r="A225" s="35">
        <v>103</v>
      </c>
      <c r="B225" s="36" t="s">
        <v>346</v>
      </c>
      <c r="C225" s="36" t="s">
        <v>28</v>
      </c>
      <c r="D225" s="36" t="s">
        <v>11</v>
      </c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>
        <v>2</v>
      </c>
      <c r="DI225" s="36"/>
      <c r="DJ225" s="36"/>
      <c r="DK225" s="36"/>
      <c r="DL225" s="36"/>
      <c r="DM225" s="36"/>
      <c r="DN225" s="36"/>
      <c r="DO225" s="36"/>
      <c r="DP225" s="56">
        <v>4</v>
      </c>
    </row>
    <row r="226" spans="1:120" hidden="1" x14ac:dyDescent="0.25">
      <c r="A226" s="38">
        <v>103</v>
      </c>
      <c r="B226" s="36" t="s">
        <v>346</v>
      </c>
      <c r="C226" s="39" t="s">
        <v>28</v>
      </c>
      <c r="D226" s="39" t="s">
        <v>11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>
        <v>4</v>
      </c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55">
        <v>0</v>
      </c>
    </row>
    <row r="227" spans="1:120" hidden="1" x14ac:dyDescent="0.25">
      <c r="A227" s="35">
        <v>103</v>
      </c>
      <c r="B227" s="36" t="s">
        <v>243</v>
      </c>
      <c r="C227" s="36" t="s">
        <v>28</v>
      </c>
      <c r="D227" s="36" t="s">
        <v>11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>
        <v>1</v>
      </c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56">
        <v>18</v>
      </c>
    </row>
    <row r="228" spans="1:120" hidden="1" x14ac:dyDescent="0.25">
      <c r="A228" s="35">
        <v>103</v>
      </c>
      <c r="B228" s="36" t="s">
        <v>243</v>
      </c>
      <c r="C228" s="36" t="s">
        <v>28</v>
      </c>
      <c r="D228" s="36" t="s">
        <v>11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>
        <v>2</v>
      </c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55">
        <v>0</v>
      </c>
    </row>
    <row r="229" spans="1:120" hidden="1" x14ac:dyDescent="0.25">
      <c r="A229" s="35">
        <v>103</v>
      </c>
      <c r="B229" s="36" t="s">
        <v>243</v>
      </c>
      <c r="C229" s="36" t="s">
        <v>28</v>
      </c>
      <c r="D229" s="36" t="s">
        <v>11</v>
      </c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>
        <v>2</v>
      </c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55">
        <v>0</v>
      </c>
    </row>
    <row r="230" spans="1:120" hidden="1" x14ac:dyDescent="0.25">
      <c r="A230" s="35">
        <v>103</v>
      </c>
      <c r="B230" s="36" t="s">
        <v>243</v>
      </c>
      <c r="C230" s="36" t="s">
        <v>28</v>
      </c>
      <c r="D230" s="36" t="s">
        <v>11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>
        <v>1</v>
      </c>
      <c r="DH230" s="36"/>
      <c r="DI230" s="36"/>
      <c r="DJ230" s="36"/>
      <c r="DK230" s="36"/>
      <c r="DL230" s="36"/>
      <c r="DM230" s="36"/>
      <c r="DN230" s="36"/>
      <c r="DO230" s="36"/>
      <c r="DP230" s="55">
        <v>0</v>
      </c>
    </row>
    <row r="231" spans="1:120" hidden="1" x14ac:dyDescent="0.25">
      <c r="A231" s="35">
        <v>70</v>
      </c>
      <c r="B231" s="36" t="s">
        <v>347</v>
      </c>
      <c r="C231" s="36" t="s">
        <v>28</v>
      </c>
      <c r="D231" s="36" t="s">
        <v>11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>
        <v>3</v>
      </c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56">
        <v>4</v>
      </c>
    </row>
    <row r="232" spans="1:120" hidden="1" x14ac:dyDescent="0.25">
      <c r="A232" s="38">
        <v>70</v>
      </c>
      <c r="B232" s="39" t="s">
        <v>347</v>
      </c>
      <c r="C232" s="39" t="s">
        <v>28</v>
      </c>
      <c r="D232" s="39" t="s">
        <v>11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>
        <v>2</v>
      </c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58">
        <v>4</v>
      </c>
    </row>
    <row r="233" spans="1:120" hidden="1" x14ac:dyDescent="0.25">
      <c r="A233" s="35">
        <v>70</v>
      </c>
      <c r="B233" s="39" t="s">
        <v>347</v>
      </c>
      <c r="C233" s="36" t="s">
        <v>28</v>
      </c>
      <c r="D233" s="36" t="s">
        <v>11</v>
      </c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>
        <v>2</v>
      </c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56">
        <v>4</v>
      </c>
    </row>
    <row r="234" spans="1:120" hidden="1" x14ac:dyDescent="0.25">
      <c r="A234" s="35">
        <v>70</v>
      </c>
      <c r="B234" s="39" t="s">
        <v>347</v>
      </c>
      <c r="C234" s="36" t="s">
        <v>28</v>
      </c>
      <c r="D234" s="36" t="s">
        <v>11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>
        <v>3</v>
      </c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56">
        <v>4</v>
      </c>
    </row>
    <row r="235" spans="1:120" hidden="1" x14ac:dyDescent="0.25">
      <c r="A235" s="35">
        <v>83</v>
      </c>
      <c r="B235" s="39" t="s">
        <v>352</v>
      </c>
      <c r="C235" s="36" t="s">
        <v>28</v>
      </c>
      <c r="D235" s="36" t="s">
        <v>11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>
        <v>1</v>
      </c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56">
        <v>6</v>
      </c>
    </row>
    <row r="236" spans="1:120" hidden="1" x14ac:dyDescent="0.25">
      <c r="A236" s="35">
        <v>83</v>
      </c>
      <c r="B236" s="39" t="s">
        <v>352</v>
      </c>
      <c r="C236" s="36" t="s">
        <v>28</v>
      </c>
      <c r="D236" s="36" t="s">
        <v>11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>
        <v>1</v>
      </c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56">
        <v>6</v>
      </c>
    </row>
    <row r="237" spans="1:120" hidden="1" x14ac:dyDescent="0.25">
      <c r="A237" s="38">
        <v>83</v>
      </c>
      <c r="B237" s="36" t="s">
        <v>352</v>
      </c>
      <c r="C237" s="39" t="s">
        <v>28</v>
      </c>
      <c r="D237" s="39" t="s">
        <v>11</v>
      </c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>
        <v>2</v>
      </c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58">
        <v>4</v>
      </c>
    </row>
    <row r="238" spans="1:120" hidden="1" x14ac:dyDescent="0.25">
      <c r="A238" s="35">
        <v>83</v>
      </c>
      <c r="B238" s="36" t="s">
        <v>352</v>
      </c>
      <c r="C238" s="36" t="s">
        <v>28</v>
      </c>
      <c r="D238" s="36" t="s">
        <v>11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>
        <v>4</v>
      </c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56">
        <v>4</v>
      </c>
    </row>
    <row r="239" spans="1:120" hidden="1" x14ac:dyDescent="0.25">
      <c r="A239" s="35">
        <v>83</v>
      </c>
      <c r="B239" s="36" t="s">
        <v>352</v>
      </c>
      <c r="C239" s="36" t="s">
        <v>28</v>
      </c>
      <c r="D239" s="36" t="s">
        <v>11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>
        <v>6</v>
      </c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55">
        <v>0</v>
      </c>
    </row>
    <row r="240" spans="1:120" hidden="1" x14ac:dyDescent="0.25">
      <c r="A240" s="38">
        <v>83</v>
      </c>
      <c r="B240" s="36" t="s">
        <v>352</v>
      </c>
      <c r="C240" s="39" t="s">
        <v>28</v>
      </c>
      <c r="D240" s="39" t="s">
        <v>11</v>
      </c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>
        <v>3</v>
      </c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55">
        <v>0</v>
      </c>
    </row>
    <row r="241" spans="1:120" hidden="1" x14ac:dyDescent="0.25">
      <c r="A241" s="35">
        <v>83</v>
      </c>
      <c r="B241" s="36" t="s">
        <v>352</v>
      </c>
      <c r="C241" s="36" t="s">
        <v>28</v>
      </c>
      <c r="D241" s="36" t="s">
        <v>11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>
        <v>2</v>
      </c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55">
        <v>0</v>
      </c>
    </row>
    <row r="242" spans="1:120" hidden="1" x14ac:dyDescent="0.25">
      <c r="A242" s="35">
        <v>83</v>
      </c>
      <c r="B242" s="36" t="s">
        <v>352</v>
      </c>
      <c r="C242" s="36" t="s">
        <v>28</v>
      </c>
      <c r="D242" s="36" t="s">
        <v>11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>
        <v>5</v>
      </c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55">
        <v>0</v>
      </c>
    </row>
    <row r="243" spans="1:120" hidden="1" x14ac:dyDescent="0.25">
      <c r="A243" s="35">
        <v>114</v>
      </c>
      <c r="B243" s="36" t="s">
        <v>353</v>
      </c>
      <c r="C243" s="36" t="s">
        <v>28</v>
      </c>
      <c r="D243" s="36" t="s">
        <v>11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>
        <v>2</v>
      </c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56">
        <v>8</v>
      </c>
    </row>
    <row r="244" spans="1:120" hidden="1" x14ac:dyDescent="0.25">
      <c r="A244" s="35">
        <v>32</v>
      </c>
      <c r="B244" s="36" t="s">
        <v>354</v>
      </c>
      <c r="C244" s="36" t="s">
        <v>28</v>
      </c>
      <c r="D244" s="36" t="s">
        <v>11</v>
      </c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>
        <v>5</v>
      </c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56">
        <v>2</v>
      </c>
    </row>
    <row r="245" spans="1:120" hidden="1" x14ac:dyDescent="0.25">
      <c r="A245" s="10">
        <v>32</v>
      </c>
      <c r="B245" s="2" t="s">
        <v>354</v>
      </c>
      <c r="C245" s="2" t="s">
        <v>28</v>
      </c>
      <c r="D245" s="2" t="s">
        <v>11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>
        <v>7</v>
      </c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1"/>
      <c r="AR245" s="1"/>
      <c r="AS245" s="1"/>
      <c r="AT245" s="1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55">
        <v>0</v>
      </c>
    </row>
    <row r="246" spans="1:120" hidden="1" x14ac:dyDescent="0.25">
      <c r="A246" s="10">
        <v>45</v>
      </c>
      <c r="B246" s="2" t="s">
        <v>355</v>
      </c>
      <c r="C246" s="2" t="s">
        <v>28</v>
      </c>
      <c r="D246" s="2" t="s">
        <v>11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>
        <v>4</v>
      </c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57">
        <v>2</v>
      </c>
    </row>
    <row r="247" spans="1:120" hidden="1" x14ac:dyDescent="0.25">
      <c r="A247" s="44">
        <v>45</v>
      </c>
      <c r="B247" s="19" t="s">
        <v>355</v>
      </c>
      <c r="C247" s="19" t="s">
        <v>28</v>
      </c>
      <c r="D247" s="19" t="s">
        <v>11</v>
      </c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>
        <v>6</v>
      </c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59">
        <v>2</v>
      </c>
    </row>
    <row r="248" spans="1:120" hidden="1" x14ac:dyDescent="0.25">
      <c r="A248" s="10">
        <v>45</v>
      </c>
      <c r="B248" s="2" t="s">
        <v>218</v>
      </c>
      <c r="C248" s="2" t="s">
        <v>28</v>
      </c>
      <c r="D248" s="2" t="s">
        <v>11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>
        <v>1</v>
      </c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57">
        <v>12</v>
      </c>
    </row>
    <row r="249" spans="1:120" hidden="1" x14ac:dyDescent="0.25">
      <c r="A249" s="10">
        <v>45</v>
      </c>
      <c r="B249" s="2" t="s">
        <v>218</v>
      </c>
      <c r="C249" s="2" t="s">
        <v>28</v>
      </c>
      <c r="D249" s="2" t="s">
        <v>11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>
        <v>1</v>
      </c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57">
        <v>12</v>
      </c>
    </row>
    <row r="250" spans="1:120" hidden="1" x14ac:dyDescent="0.25">
      <c r="A250" s="35">
        <v>107</v>
      </c>
      <c r="B250" s="36" t="s">
        <v>356</v>
      </c>
      <c r="C250" s="36" t="s">
        <v>28</v>
      </c>
      <c r="D250" s="36" t="s">
        <v>11</v>
      </c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>
        <v>7</v>
      </c>
      <c r="DP250" s="55">
        <v>0</v>
      </c>
    </row>
    <row r="251" spans="1:120" hidden="1" x14ac:dyDescent="0.25">
      <c r="A251" s="38">
        <v>107</v>
      </c>
      <c r="B251" s="39" t="s">
        <v>245</v>
      </c>
      <c r="C251" s="39" t="s">
        <v>28</v>
      </c>
      <c r="D251" s="39" t="s">
        <v>11</v>
      </c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>
        <v>1</v>
      </c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55">
        <v>0</v>
      </c>
    </row>
    <row r="252" spans="1:120" hidden="1" x14ac:dyDescent="0.25">
      <c r="A252" s="35">
        <v>107</v>
      </c>
      <c r="B252" s="36" t="s">
        <v>245</v>
      </c>
      <c r="C252" s="36" t="s">
        <v>28</v>
      </c>
      <c r="D252" s="36" t="s">
        <v>11</v>
      </c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>
        <v>1</v>
      </c>
      <c r="DO252" s="36"/>
      <c r="DP252" s="55">
        <v>0</v>
      </c>
    </row>
    <row r="253" spans="1:120" hidden="1" x14ac:dyDescent="0.25">
      <c r="A253" s="35">
        <v>85</v>
      </c>
      <c r="B253" s="36" t="s">
        <v>225</v>
      </c>
      <c r="C253" s="36" t="s">
        <v>28</v>
      </c>
      <c r="D253" s="36" t="s">
        <v>11</v>
      </c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>
        <v>4</v>
      </c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56">
        <v>4</v>
      </c>
    </row>
    <row r="254" spans="1:120" hidden="1" x14ac:dyDescent="0.25">
      <c r="A254" s="35">
        <v>85</v>
      </c>
      <c r="B254" s="36" t="s">
        <v>225</v>
      </c>
      <c r="C254" s="36" t="s">
        <v>28</v>
      </c>
      <c r="D254" s="36" t="s">
        <v>11</v>
      </c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>
        <v>4</v>
      </c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56">
        <v>4</v>
      </c>
    </row>
    <row r="255" spans="1:120" hidden="1" x14ac:dyDescent="0.25">
      <c r="A255" s="35">
        <v>108</v>
      </c>
      <c r="B255" s="36" t="s">
        <v>358</v>
      </c>
      <c r="C255" s="2" t="s">
        <v>30</v>
      </c>
      <c r="D255" s="36" t="s">
        <v>12</v>
      </c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>
        <v>3</v>
      </c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56">
        <v>2</v>
      </c>
    </row>
    <row r="256" spans="1:120" hidden="1" x14ac:dyDescent="0.25">
      <c r="A256" s="35">
        <v>109</v>
      </c>
      <c r="B256" s="36" t="s">
        <v>260</v>
      </c>
      <c r="C256" s="2" t="s">
        <v>30</v>
      </c>
      <c r="D256" s="36" t="s">
        <v>12</v>
      </c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>
        <v>4</v>
      </c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56">
        <v>1</v>
      </c>
    </row>
    <row r="257" spans="1:120" hidden="1" x14ac:dyDescent="0.25">
      <c r="A257" s="35">
        <v>109</v>
      </c>
      <c r="B257" s="36" t="s">
        <v>230</v>
      </c>
      <c r="C257" s="2" t="s">
        <v>30</v>
      </c>
      <c r="D257" s="36" t="s">
        <v>12</v>
      </c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>
        <v>3</v>
      </c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56">
        <v>4</v>
      </c>
    </row>
    <row r="258" spans="1:120" hidden="1" x14ac:dyDescent="0.25">
      <c r="A258" s="35">
        <v>119</v>
      </c>
      <c r="B258" s="36" t="s">
        <v>314</v>
      </c>
      <c r="C258" s="36" t="s">
        <v>32</v>
      </c>
      <c r="D258" s="36" t="s">
        <v>146</v>
      </c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>
        <v>1</v>
      </c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55">
        <v>6</v>
      </c>
    </row>
    <row r="259" spans="1:120" hidden="1" x14ac:dyDescent="0.25">
      <c r="A259" s="35">
        <v>90</v>
      </c>
      <c r="B259" s="36" t="s">
        <v>231</v>
      </c>
      <c r="C259" s="36" t="s">
        <v>32</v>
      </c>
      <c r="D259" s="36" t="s">
        <v>146</v>
      </c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>
        <v>1</v>
      </c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55">
        <v>9</v>
      </c>
    </row>
    <row r="260" spans="1:120" hidden="1" x14ac:dyDescent="0.25">
      <c r="A260" s="35">
        <v>96</v>
      </c>
      <c r="B260" s="36" t="s">
        <v>234</v>
      </c>
      <c r="C260" s="36" t="s">
        <v>23</v>
      </c>
      <c r="D260" s="36" t="s">
        <v>53</v>
      </c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>
        <v>3</v>
      </c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55">
        <v>6</v>
      </c>
    </row>
    <row r="261" spans="1:120" hidden="1" x14ac:dyDescent="0.25">
      <c r="A261" s="35">
        <v>120</v>
      </c>
      <c r="B261" s="36" t="s">
        <v>233</v>
      </c>
      <c r="C261" s="36" t="s">
        <v>23</v>
      </c>
      <c r="D261" s="36" t="s">
        <v>57</v>
      </c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>
        <v>4</v>
      </c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55">
        <v>4</v>
      </c>
    </row>
    <row r="262" spans="1:120" hidden="1" x14ac:dyDescent="0.25">
      <c r="A262" s="38">
        <v>117</v>
      </c>
      <c r="B262" s="36" t="s">
        <v>294</v>
      </c>
      <c r="C262" s="39" t="s">
        <v>23</v>
      </c>
      <c r="D262" s="39" t="s">
        <v>53</v>
      </c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>
        <v>3</v>
      </c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55">
        <v>4</v>
      </c>
    </row>
    <row r="263" spans="1:120" hidden="1" x14ac:dyDescent="0.25">
      <c r="A263" s="35">
        <v>116</v>
      </c>
      <c r="B263" s="36" t="s">
        <v>239</v>
      </c>
      <c r="C263" s="36" t="s">
        <v>23</v>
      </c>
      <c r="D263" s="36" t="s">
        <v>53</v>
      </c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>
        <v>4</v>
      </c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55">
        <v>4</v>
      </c>
    </row>
    <row r="264" spans="1:120" hidden="1" x14ac:dyDescent="0.25">
      <c r="A264" s="35">
        <v>286</v>
      </c>
      <c r="B264" s="36" t="s">
        <v>350</v>
      </c>
      <c r="C264" s="2" t="s">
        <v>30</v>
      </c>
      <c r="D264" s="36" t="s">
        <v>12</v>
      </c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>
        <v>1</v>
      </c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55">
        <v>6</v>
      </c>
    </row>
    <row r="265" spans="1:120" x14ac:dyDescent="0.25">
      <c r="A265" s="38">
        <v>285</v>
      </c>
      <c r="B265" s="39" t="s">
        <v>305</v>
      </c>
      <c r="C265" s="39" t="s">
        <v>249</v>
      </c>
      <c r="D265" s="39" t="s">
        <v>184</v>
      </c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>
        <v>2</v>
      </c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55">
        <v>4</v>
      </c>
    </row>
    <row r="266" spans="1:120" hidden="1" x14ac:dyDescent="0.25">
      <c r="A266" s="35">
        <v>109</v>
      </c>
      <c r="B266" s="36" t="s">
        <v>260</v>
      </c>
      <c r="C266" s="2" t="s">
        <v>30</v>
      </c>
      <c r="D266" s="36" t="s">
        <v>12</v>
      </c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>
        <v>3</v>
      </c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55">
        <v>4</v>
      </c>
    </row>
    <row r="267" spans="1:120" hidden="1" x14ac:dyDescent="0.25">
      <c r="A267" s="35">
        <v>108</v>
      </c>
      <c r="B267" s="36" t="s">
        <v>358</v>
      </c>
      <c r="C267" s="2" t="s">
        <v>30</v>
      </c>
      <c r="D267" s="36" t="s">
        <v>12</v>
      </c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>
        <v>4</v>
      </c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55">
        <v>2</v>
      </c>
    </row>
    <row r="268" spans="1:120" hidden="1" x14ac:dyDescent="0.25">
      <c r="A268" s="38">
        <v>121</v>
      </c>
      <c r="B268" s="39" t="s">
        <v>235</v>
      </c>
      <c r="C268" s="36" t="s">
        <v>37</v>
      </c>
      <c r="D268" s="39" t="s">
        <v>18</v>
      </c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>
        <v>1</v>
      </c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55">
        <v>9</v>
      </c>
    </row>
    <row r="269" spans="1:120" hidden="1" x14ac:dyDescent="0.25">
      <c r="A269" s="38">
        <v>286</v>
      </c>
      <c r="B269" s="39" t="s">
        <v>244</v>
      </c>
      <c r="C269" s="2" t="s">
        <v>30</v>
      </c>
      <c r="D269" s="39" t="s">
        <v>12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>
        <v>3</v>
      </c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55">
        <v>6</v>
      </c>
    </row>
    <row r="270" spans="1:120" hidden="1" x14ac:dyDescent="0.25">
      <c r="A270" s="35">
        <v>109</v>
      </c>
      <c r="B270" s="36" t="s">
        <v>230</v>
      </c>
      <c r="C270" s="2" t="s">
        <v>30</v>
      </c>
      <c r="D270" s="36" t="s">
        <v>12</v>
      </c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>
        <v>5</v>
      </c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56">
        <v>4</v>
      </c>
    </row>
    <row r="271" spans="1:120" hidden="1" x14ac:dyDescent="0.25">
      <c r="A271" s="35">
        <v>119</v>
      </c>
      <c r="B271" s="36" t="s">
        <v>314</v>
      </c>
      <c r="C271" s="36" t="s">
        <v>32</v>
      </c>
      <c r="D271" s="36" t="s">
        <v>146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>
        <v>5</v>
      </c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56">
        <v>1</v>
      </c>
    </row>
    <row r="272" spans="1:120" hidden="1" x14ac:dyDescent="0.25">
      <c r="A272" s="35">
        <v>117</v>
      </c>
      <c r="B272" s="36" t="s">
        <v>294</v>
      </c>
      <c r="C272" s="36" t="s">
        <v>23</v>
      </c>
      <c r="D272" s="36" t="s">
        <v>53</v>
      </c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>
        <v>6</v>
      </c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56">
        <v>1</v>
      </c>
    </row>
    <row r="273" spans="1:120" hidden="1" x14ac:dyDescent="0.25">
      <c r="A273" s="35">
        <v>109</v>
      </c>
      <c r="B273" s="36" t="s">
        <v>260</v>
      </c>
      <c r="C273" s="2" t="s">
        <v>30</v>
      </c>
      <c r="D273" s="36" t="s">
        <v>12</v>
      </c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>
        <v>2</v>
      </c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55">
        <v>2</v>
      </c>
    </row>
    <row r="274" spans="1:120" hidden="1" x14ac:dyDescent="0.25">
      <c r="A274" s="35">
        <v>108</v>
      </c>
      <c r="B274" s="36" t="s">
        <v>358</v>
      </c>
      <c r="C274" s="2" t="s">
        <v>30</v>
      </c>
      <c r="D274" s="36" t="s">
        <v>12</v>
      </c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>
        <v>6</v>
      </c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56">
        <v>1</v>
      </c>
    </row>
    <row r="275" spans="1:120" x14ac:dyDescent="0.25">
      <c r="A275" s="35">
        <v>285</v>
      </c>
      <c r="B275" s="36" t="s">
        <v>305</v>
      </c>
      <c r="C275" s="36" t="s">
        <v>249</v>
      </c>
      <c r="D275" s="36" t="s">
        <v>184</v>
      </c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>
        <v>7</v>
      </c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56"/>
    </row>
    <row r="276" spans="1:120" hidden="1" x14ac:dyDescent="0.25">
      <c r="A276" s="35">
        <v>121</v>
      </c>
      <c r="B276" s="36" t="s">
        <v>235</v>
      </c>
      <c r="C276" s="36" t="s">
        <v>37</v>
      </c>
      <c r="D276" s="36" t="s">
        <v>18</v>
      </c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>
        <v>1</v>
      </c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55">
        <v>6</v>
      </c>
    </row>
    <row r="277" spans="1:120" hidden="1" x14ac:dyDescent="0.25">
      <c r="A277" s="35">
        <v>109</v>
      </c>
      <c r="B277" s="36" t="s">
        <v>230</v>
      </c>
      <c r="C277" s="2" t="s">
        <v>30</v>
      </c>
      <c r="D277" s="36" t="s">
        <v>12</v>
      </c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>
        <v>3</v>
      </c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55">
        <v>4</v>
      </c>
    </row>
    <row r="278" spans="1:120" hidden="1" x14ac:dyDescent="0.25">
      <c r="A278" s="35">
        <v>286</v>
      </c>
      <c r="B278" s="36" t="s">
        <v>244</v>
      </c>
      <c r="C278" s="2" t="s">
        <v>30</v>
      </c>
      <c r="D278" s="36" t="s">
        <v>12</v>
      </c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>
        <v>5</v>
      </c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55">
        <v>2</v>
      </c>
    </row>
    <row r="279" spans="1:120" hidden="1" x14ac:dyDescent="0.25">
      <c r="A279" s="35">
        <v>109</v>
      </c>
      <c r="B279" s="36" t="s">
        <v>230</v>
      </c>
      <c r="C279" s="2" t="s">
        <v>30</v>
      </c>
      <c r="D279" s="36" t="s">
        <v>12</v>
      </c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>
        <v>2</v>
      </c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55">
        <v>4</v>
      </c>
    </row>
    <row r="280" spans="1:120" hidden="1" x14ac:dyDescent="0.25">
      <c r="A280" s="38">
        <v>121</v>
      </c>
      <c r="B280" s="39" t="s">
        <v>235</v>
      </c>
      <c r="C280" s="36" t="s">
        <v>37</v>
      </c>
      <c r="D280" s="39" t="s">
        <v>18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>
        <v>3</v>
      </c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55">
        <v>4</v>
      </c>
    </row>
    <row r="281" spans="1:120" hidden="1" x14ac:dyDescent="0.25">
      <c r="A281" s="35">
        <v>120</v>
      </c>
      <c r="B281" s="36" t="s">
        <v>233</v>
      </c>
      <c r="C281" s="36" t="s">
        <v>23</v>
      </c>
      <c r="D281" s="36" t="s">
        <v>57</v>
      </c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>
        <v>4</v>
      </c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56">
        <v>2</v>
      </c>
    </row>
    <row r="282" spans="1:120" hidden="1" x14ac:dyDescent="0.25">
      <c r="A282" s="35">
        <v>286</v>
      </c>
      <c r="B282" s="36" t="s">
        <v>244</v>
      </c>
      <c r="C282" s="2" t="s">
        <v>30</v>
      </c>
      <c r="D282" s="36" t="s">
        <v>12</v>
      </c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>
        <v>5</v>
      </c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55">
        <v>2</v>
      </c>
    </row>
    <row r="283" spans="1:120" hidden="1" x14ac:dyDescent="0.25">
      <c r="A283" s="35">
        <v>96</v>
      </c>
      <c r="B283" s="36" t="s">
        <v>234</v>
      </c>
      <c r="C283" s="36" t="s">
        <v>23</v>
      </c>
      <c r="D283" s="36" t="s">
        <v>53</v>
      </c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>
        <v>6</v>
      </c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56">
        <v>2</v>
      </c>
    </row>
    <row r="284" spans="1:120" hidden="1" x14ac:dyDescent="0.25">
      <c r="A284" s="35">
        <v>109</v>
      </c>
      <c r="B284" s="36" t="s">
        <v>230</v>
      </c>
      <c r="C284" s="2" t="s">
        <v>30</v>
      </c>
      <c r="D284" s="36" t="s">
        <v>12</v>
      </c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>
        <v>2</v>
      </c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56">
        <v>4</v>
      </c>
    </row>
    <row r="285" spans="1:120" hidden="1" x14ac:dyDescent="0.25">
      <c r="A285" s="35">
        <v>286</v>
      </c>
      <c r="B285" s="36" t="s">
        <v>244</v>
      </c>
      <c r="C285" s="2" t="s">
        <v>30</v>
      </c>
      <c r="D285" s="36" t="s">
        <v>12</v>
      </c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>
        <v>3</v>
      </c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56">
        <v>4</v>
      </c>
    </row>
    <row r="286" spans="1:120" hidden="1" x14ac:dyDescent="0.25">
      <c r="A286" s="35">
        <v>116</v>
      </c>
      <c r="B286" s="36" t="s">
        <v>239</v>
      </c>
      <c r="C286" s="36" t="s">
        <v>23</v>
      </c>
      <c r="D286" s="36" t="s">
        <v>53</v>
      </c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>
        <v>4</v>
      </c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56">
        <v>2</v>
      </c>
    </row>
    <row r="287" spans="1:120" hidden="1" x14ac:dyDescent="0.25">
      <c r="A287" s="38">
        <v>286</v>
      </c>
      <c r="B287" s="39" t="s">
        <v>244</v>
      </c>
      <c r="C287" s="2" t="s">
        <v>30</v>
      </c>
      <c r="D287" s="39" t="s">
        <v>12</v>
      </c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>
        <v>4</v>
      </c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55">
        <v>2</v>
      </c>
    </row>
    <row r="288" spans="1:120" hidden="1" x14ac:dyDescent="0.25">
      <c r="A288" s="35">
        <v>116</v>
      </c>
      <c r="B288" s="36" t="s">
        <v>239</v>
      </c>
      <c r="C288" s="36" t="s">
        <v>23</v>
      </c>
      <c r="D288" s="36" t="s">
        <v>53</v>
      </c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>
        <v>6</v>
      </c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55">
        <v>2</v>
      </c>
    </row>
    <row r="289" spans="1:120" hidden="1" x14ac:dyDescent="0.25">
      <c r="A289" s="35">
        <v>286</v>
      </c>
      <c r="B289" s="36" t="s">
        <v>244</v>
      </c>
      <c r="C289" s="2" t="s">
        <v>30</v>
      </c>
      <c r="D289" s="36" t="s">
        <v>12</v>
      </c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>
        <v>2</v>
      </c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56">
        <v>4</v>
      </c>
    </row>
    <row r="290" spans="1:120" hidden="1" x14ac:dyDescent="0.25">
      <c r="A290" s="35">
        <v>109</v>
      </c>
      <c r="B290" s="36" t="s">
        <v>230</v>
      </c>
      <c r="C290" s="2" t="s">
        <v>30</v>
      </c>
      <c r="D290" s="36" t="s">
        <v>12</v>
      </c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>
        <v>3</v>
      </c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55">
        <v>4</v>
      </c>
    </row>
    <row r="291" spans="1:120" hidden="1" x14ac:dyDescent="0.25">
      <c r="A291" s="35">
        <v>96</v>
      </c>
      <c r="B291" s="36" t="s">
        <v>234</v>
      </c>
      <c r="C291" s="36" t="s">
        <v>23</v>
      </c>
      <c r="D291" s="36" t="s">
        <v>53</v>
      </c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>
        <v>4</v>
      </c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55">
        <v>2</v>
      </c>
    </row>
    <row r="292" spans="1:120" hidden="1" x14ac:dyDescent="0.25">
      <c r="A292" s="35">
        <v>120</v>
      </c>
      <c r="B292" s="36" t="s">
        <v>233</v>
      </c>
      <c r="C292" s="36" t="s">
        <v>23</v>
      </c>
      <c r="D292" s="36" t="s">
        <v>57</v>
      </c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>
        <v>5</v>
      </c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55">
        <v>2</v>
      </c>
    </row>
    <row r="293" spans="1:120" hidden="1" x14ac:dyDescent="0.25">
      <c r="A293" s="35">
        <v>90</v>
      </c>
      <c r="B293" s="36" t="s">
        <v>231</v>
      </c>
      <c r="C293" s="36" t="s">
        <v>32</v>
      </c>
      <c r="D293" s="36" t="s">
        <v>146</v>
      </c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>
        <v>1</v>
      </c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56">
        <v>6</v>
      </c>
    </row>
    <row r="294" spans="1:120" hidden="1" x14ac:dyDescent="0.25">
      <c r="A294" s="35">
        <v>96</v>
      </c>
      <c r="B294" s="36" t="s">
        <v>234</v>
      </c>
      <c r="C294" s="36" t="s">
        <v>23</v>
      </c>
      <c r="D294" s="36" t="s">
        <v>53</v>
      </c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>
        <v>4</v>
      </c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56">
        <v>2</v>
      </c>
    </row>
    <row r="295" spans="1:120" hidden="1" x14ac:dyDescent="0.25">
      <c r="A295" s="35">
        <v>120</v>
      </c>
      <c r="B295" s="36" t="s">
        <v>233</v>
      </c>
      <c r="C295" s="36" t="s">
        <v>23</v>
      </c>
      <c r="D295" s="36" t="s">
        <v>57</v>
      </c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>
        <v>5</v>
      </c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55">
        <v>2</v>
      </c>
    </row>
    <row r="296" spans="1:120" hidden="1" x14ac:dyDescent="0.25">
      <c r="A296" s="35">
        <v>90</v>
      </c>
      <c r="B296" s="36" t="s">
        <v>231</v>
      </c>
      <c r="C296" s="36" t="s">
        <v>32</v>
      </c>
      <c r="D296" s="36" t="s">
        <v>146</v>
      </c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>
        <v>1</v>
      </c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55">
        <v>3</v>
      </c>
    </row>
    <row r="297" spans="1:120" hidden="1" x14ac:dyDescent="0.25">
      <c r="A297" s="35">
        <v>96</v>
      </c>
      <c r="B297" s="36" t="s">
        <v>234</v>
      </c>
      <c r="C297" s="36" t="s">
        <v>23</v>
      </c>
      <c r="D297" s="36" t="s">
        <v>53</v>
      </c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>
        <v>4</v>
      </c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55">
        <v>1</v>
      </c>
    </row>
    <row r="298" spans="1:120" hidden="1" x14ac:dyDescent="0.25">
      <c r="A298" s="35">
        <v>120</v>
      </c>
      <c r="B298" s="36" t="s">
        <v>233</v>
      </c>
      <c r="C298" s="36" t="s">
        <v>23</v>
      </c>
      <c r="D298" s="36" t="s">
        <v>57</v>
      </c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>
        <v>5</v>
      </c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56">
        <v>1</v>
      </c>
    </row>
    <row r="299" spans="1:120" x14ac:dyDescent="0.25">
      <c r="A299" s="35">
        <v>285</v>
      </c>
      <c r="B299" s="36" t="s">
        <v>305</v>
      </c>
      <c r="C299" s="36" t="s">
        <v>249</v>
      </c>
      <c r="D299" s="36" t="s">
        <v>184</v>
      </c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>
        <v>3</v>
      </c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56">
        <v>2</v>
      </c>
    </row>
    <row r="300" spans="1:120" hidden="1" x14ac:dyDescent="0.25">
      <c r="A300" s="35">
        <v>286</v>
      </c>
      <c r="B300" s="36" t="s">
        <v>244</v>
      </c>
      <c r="C300" s="2" t="s">
        <v>30</v>
      </c>
      <c r="D300" s="36" t="s">
        <v>12</v>
      </c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>
        <v>2</v>
      </c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56">
        <v>4</v>
      </c>
    </row>
    <row r="301" spans="1:120" hidden="1" x14ac:dyDescent="0.25">
      <c r="A301" s="38">
        <v>65</v>
      </c>
      <c r="B301" s="39" t="s">
        <v>264</v>
      </c>
      <c r="C301" s="36" t="s">
        <v>32</v>
      </c>
      <c r="D301" s="39" t="s">
        <v>146</v>
      </c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>
        <v>4</v>
      </c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58">
        <v>1</v>
      </c>
    </row>
    <row r="302" spans="1:120" hidden="1" x14ac:dyDescent="0.25">
      <c r="A302" s="35">
        <v>82</v>
      </c>
      <c r="B302" s="36" t="s">
        <v>308</v>
      </c>
      <c r="C302" s="36" t="s">
        <v>23</v>
      </c>
      <c r="D302" s="36" t="s">
        <v>53</v>
      </c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>
        <v>5</v>
      </c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56">
        <v>1</v>
      </c>
    </row>
    <row r="303" spans="1:120" hidden="1" x14ac:dyDescent="0.25">
      <c r="A303" s="35">
        <v>48</v>
      </c>
      <c r="B303" s="36" t="s">
        <v>357</v>
      </c>
      <c r="C303" s="36" t="s">
        <v>32</v>
      </c>
      <c r="D303" s="36" t="s">
        <v>146</v>
      </c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>
        <v>6</v>
      </c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56">
        <v>1</v>
      </c>
    </row>
    <row r="304" spans="1:120" hidden="1" x14ac:dyDescent="0.25">
      <c r="A304" s="38">
        <v>75</v>
      </c>
      <c r="B304" s="39" t="s">
        <v>300</v>
      </c>
      <c r="C304" s="36" t="s">
        <v>23</v>
      </c>
      <c r="D304" s="39" t="s">
        <v>179</v>
      </c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>
        <v>7</v>
      </c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55"/>
    </row>
    <row r="305" spans="1:120" hidden="1" x14ac:dyDescent="0.25">
      <c r="A305" s="35">
        <v>52</v>
      </c>
      <c r="B305" s="36" t="s">
        <v>302</v>
      </c>
      <c r="C305" s="2" t="s">
        <v>40</v>
      </c>
      <c r="D305" s="36" t="s">
        <v>14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>
        <v>8</v>
      </c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55"/>
    </row>
    <row r="306" spans="1:120" hidden="1" x14ac:dyDescent="0.25">
      <c r="A306" s="35">
        <v>56</v>
      </c>
      <c r="B306" s="36" t="s">
        <v>273</v>
      </c>
      <c r="C306" s="36" t="s">
        <v>32</v>
      </c>
      <c r="D306" s="36" t="s">
        <v>146</v>
      </c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>
        <v>9</v>
      </c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55"/>
    </row>
    <row r="307" spans="1:120" hidden="1" x14ac:dyDescent="0.25">
      <c r="A307" s="35">
        <v>72</v>
      </c>
      <c r="B307" s="36" t="s">
        <v>221</v>
      </c>
      <c r="C307" s="36" t="s">
        <v>23</v>
      </c>
      <c r="D307" s="36" t="s">
        <v>111</v>
      </c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>
        <v>2</v>
      </c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55">
        <v>4</v>
      </c>
    </row>
    <row r="308" spans="1:120" hidden="1" x14ac:dyDescent="0.25">
      <c r="A308" s="35">
        <v>280</v>
      </c>
      <c r="B308" s="36" t="s">
        <v>226</v>
      </c>
      <c r="C308" s="36" t="s">
        <v>92</v>
      </c>
      <c r="D308" s="36" t="s">
        <v>46</v>
      </c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>
        <v>4</v>
      </c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56">
        <v>2</v>
      </c>
    </row>
    <row r="309" spans="1:120" hidden="1" x14ac:dyDescent="0.25">
      <c r="A309" s="35">
        <v>55</v>
      </c>
      <c r="B309" s="36" t="s">
        <v>336</v>
      </c>
      <c r="C309" s="36" t="s">
        <v>23</v>
      </c>
      <c r="D309" s="36" t="s">
        <v>150</v>
      </c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>
        <v>2</v>
      </c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56">
        <v>2</v>
      </c>
    </row>
    <row r="310" spans="1:120" hidden="1" x14ac:dyDescent="0.25">
      <c r="A310" s="38">
        <v>55</v>
      </c>
      <c r="B310" s="39" t="s">
        <v>336</v>
      </c>
      <c r="C310" s="36" t="s">
        <v>23</v>
      </c>
      <c r="D310" s="39" t="s">
        <v>150</v>
      </c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>
        <v>3</v>
      </c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55">
        <v>2</v>
      </c>
    </row>
    <row r="311" spans="1:120" hidden="1" x14ac:dyDescent="0.25">
      <c r="A311" s="35">
        <v>81</v>
      </c>
      <c r="B311" s="36" t="s">
        <v>345</v>
      </c>
      <c r="C311" s="36" t="s">
        <v>23</v>
      </c>
      <c r="D311" s="36" t="s">
        <v>175</v>
      </c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>
        <v>5</v>
      </c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55">
        <v>1</v>
      </c>
    </row>
    <row r="312" spans="1:120" hidden="1" x14ac:dyDescent="0.25">
      <c r="A312" s="35">
        <v>84</v>
      </c>
      <c r="B312" s="36" t="s">
        <v>271</v>
      </c>
      <c r="C312" s="36" t="s">
        <v>23</v>
      </c>
      <c r="D312" s="36" t="s">
        <v>53</v>
      </c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>
        <v>6</v>
      </c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55">
        <v>1</v>
      </c>
    </row>
    <row r="313" spans="1:120" hidden="1" x14ac:dyDescent="0.25">
      <c r="A313" s="35">
        <v>80</v>
      </c>
      <c r="B313" s="36" t="s">
        <v>315</v>
      </c>
      <c r="C313" s="2" t="s">
        <v>30</v>
      </c>
      <c r="D313" s="36" t="s">
        <v>12</v>
      </c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>
        <v>1</v>
      </c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55">
        <v>3</v>
      </c>
    </row>
    <row r="314" spans="1:120" hidden="1" x14ac:dyDescent="0.25">
      <c r="A314" s="35">
        <v>81</v>
      </c>
      <c r="B314" s="36" t="s">
        <v>345</v>
      </c>
      <c r="C314" s="36" t="s">
        <v>23</v>
      </c>
      <c r="D314" s="36" t="s">
        <v>175</v>
      </c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>
        <v>2</v>
      </c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55">
        <v>2</v>
      </c>
    </row>
    <row r="315" spans="1:120" hidden="1" x14ac:dyDescent="0.25">
      <c r="A315" s="38">
        <v>279</v>
      </c>
      <c r="B315" s="39" t="s">
        <v>251</v>
      </c>
      <c r="C315" s="36" t="s">
        <v>35</v>
      </c>
      <c r="D315" s="39" t="s">
        <v>20</v>
      </c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>
        <v>4</v>
      </c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55">
        <v>1</v>
      </c>
    </row>
    <row r="316" spans="1:120" hidden="1" x14ac:dyDescent="0.25">
      <c r="A316" s="35">
        <v>84</v>
      </c>
      <c r="B316" s="36" t="s">
        <v>271</v>
      </c>
      <c r="C316" s="36" t="s">
        <v>23</v>
      </c>
      <c r="D316" s="36" t="s">
        <v>53</v>
      </c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>
        <v>7</v>
      </c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56"/>
    </row>
    <row r="317" spans="1:120" hidden="1" x14ac:dyDescent="0.25">
      <c r="A317" s="35">
        <v>81</v>
      </c>
      <c r="B317" s="36" t="s">
        <v>345</v>
      </c>
      <c r="C317" s="36" t="s">
        <v>23</v>
      </c>
      <c r="D317" s="36" t="s">
        <v>175</v>
      </c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>
        <v>1</v>
      </c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56">
        <v>3</v>
      </c>
    </row>
    <row r="318" spans="1:120" hidden="1" x14ac:dyDescent="0.25">
      <c r="A318" s="35">
        <v>279</v>
      </c>
      <c r="B318" s="36" t="s">
        <v>251</v>
      </c>
      <c r="C318" s="36" t="s">
        <v>35</v>
      </c>
      <c r="D318" s="36" t="s">
        <v>20</v>
      </c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>
        <v>3</v>
      </c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55">
        <v>2</v>
      </c>
    </row>
    <row r="319" spans="1:120" hidden="1" x14ac:dyDescent="0.25">
      <c r="A319" s="35">
        <v>84</v>
      </c>
      <c r="B319" s="36" t="s">
        <v>271</v>
      </c>
      <c r="C319" s="36" t="s">
        <v>23</v>
      </c>
      <c r="D319" s="36" t="s">
        <v>53</v>
      </c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>
        <v>8</v>
      </c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55"/>
    </row>
    <row r="320" spans="1:120" hidden="1" x14ac:dyDescent="0.25">
      <c r="A320" s="35">
        <v>72</v>
      </c>
      <c r="B320" s="36" t="s">
        <v>221</v>
      </c>
      <c r="C320" s="36" t="s">
        <v>23</v>
      </c>
      <c r="D320" s="36" t="s">
        <v>111</v>
      </c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>
        <v>2</v>
      </c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55">
        <v>4</v>
      </c>
    </row>
    <row r="321" spans="1:120" hidden="1" x14ac:dyDescent="0.25">
      <c r="A321" s="35">
        <v>65</v>
      </c>
      <c r="B321" s="36" t="s">
        <v>264</v>
      </c>
      <c r="C321" s="36" t="s">
        <v>32</v>
      </c>
      <c r="D321" s="36" t="s">
        <v>146</v>
      </c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>
        <v>5</v>
      </c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56">
        <v>1</v>
      </c>
    </row>
    <row r="322" spans="1:120" hidden="1" x14ac:dyDescent="0.25">
      <c r="A322" s="38">
        <v>280</v>
      </c>
      <c r="B322" s="39" t="s">
        <v>226</v>
      </c>
      <c r="C322" s="36" t="s">
        <v>92</v>
      </c>
      <c r="D322" s="39" t="s">
        <v>46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>
        <v>5</v>
      </c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55">
        <v>2</v>
      </c>
    </row>
    <row r="323" spans="1:120" hidden="1" x14ac:dyDescent="0.25">
      <c r="A323" s="35">
        <v>82</v>
      </c>
      <c r="B323" s="36" t="s">
        <v>308</v>
      </c>
      <c r="C323" s="36" t="s">
        <v>23</v>
      </c>
      <c r="D323" s="36" t="s">
        <v>53</v>
      </c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>
        <v>4</v>
      </c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55">
        <v>1</v>
      </c>
    </row>
    <row r="324" spans="1:120" hidden="1" x14ac:dyDescent="0.25">
      <c r="A324" s="38">
        <v>63</v>
      </c>
      <c r="B324" s="39" t="s">
        <v>252</v>
      </c>
      <c r="C324" s="36" t="s">
        <v>23</v>
      </c>
      <c r="D324" s="39" t="s">
        <v>134</v>
      </c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>
        <v>5</v>
      </c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55">
        <v>1</v>
      </c>
    </row>
    <row r="325" spans="1:120" hidden="1" x14ac:dyDescent="0.25">
      <c r="A325" s="35">
        <v>75</v>
      </c>
      <c r="B325" s="36" t="s">
        <v>300</v>
      </c>
      <c r="C325" s="36" t="s">
        <v>23</v>
      </c>
      <c r="D325" s="36" t="s">
        <v>179</v>
      </c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>
        <v>6</v>
      </c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56">
        <v>1</v>
      </c>
    </row>
    <row r="326" spans="1:120" hidden="1" x14ac:dyDescent="0.25">
      <c r="A326" s="35">
        <v>57</v>
      </c>
      <c r="B326" s="36" t="s">
        <v>219</v>
      </c>
      <c r="C326" s="36" t="s">
        <v>32</v>
      </c>
      <c r="D326" s="36" t="s">
        <v>146</v>
      </c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>
        <v>1</v>
      </c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56">
        <v>6</v>
      </c>
    </row>
    <row r="327" spans="1:120" hidden="1" x14ac:dyDescent="0.25">
      <c r="A327" s="38">
        <v>72</v>
      </c>
      <c r="B327" s="39" t="s">
        <v>221</v>
      </c>
      <c r="C327" s="36" t="s">
        <v>23</v>
      </c>
      <c r="D327" s="39" t="s">
        <v>111</v>
      </c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>
        <v>3</v>
      </c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55">
        <v>4</v>
      </c>
    </row>
    <row r="328" spans="1:120" hidden="1" x14ac:dyDescent="0.25">
      <c r="A328" s="35">
        <v>48</v>
      </c>
      <c r="B328" s="36" t="s">
        <v>357</v>
      </c>
      <c r="C328" s="36" t="s">
        <v>32</v>
      </c>
      <c r="D328" s="36" t="s">
        <v>146</v>
      </c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>
        <v>5</v>
      </c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55">
        <v>1</v>
      </c>
    </row>
    <row r="329" spans="1:120" hidden="1" x14ac:dyDescent="0.25">
      <c r="A329" s="35">
        <v>56</v>
      </c>
      <c r="B329" s="36" t="s">
        <v>273</v>
      </c>
      <c r="C329" s="36" t="s">
        <v>32</v>
      </c>
      <c r="D329" s="36" t="s">
        <v>146</v>
      </c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>
        <v>6</v>
      </c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55">
        <v>1</v>
      </c>
    </row>
    <row r="330" spans="1:120" hidden="1" x14ac:dyDescent="0.25">
      <c r="A330" s="35">
        <v>63</v>
      </c>
      <c r="B330" s="36" t="s">
        <v>252</v>
      </c>
      <c r="C330" s="36" t="s">
        <v>23</v>
      </c>
      <c r="D330" s="36" t="s">
        <v>134</v>
      </c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>
        <v>7</v>
      </c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56"/>
    </row>
    <row r="331" spans="1:120" hidden="1" x14ac:dyDescent="0.25">
      <c r="A331" s="35">
        <v>82</v>
      </c>
      <c r="B331" s="36" t="s">
        <v>308</v>
      </c>
      <c r="C331" s="36" t="s">
        <v>23</v>
      </c>
      <c r="D331" s="36" t="s">
        <v>53</v>
      </c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>
        <v>9</v>
      </c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56"/>
    </row>
    <row r="332" spans="1:120" hidden="1" x14ac:dyDescent="0.25">
      <c r="A332" s="35">
        <v>65</v>
      </c>
      <c r="B332" s="36" t="s">
        <v>264</v>
      </c>
      <c r="C332" s="36" t="s">
        <v>32</v>
      </c>
      <c r="D332" s="36" t="s">
        <v>146</v>
      </c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>
        <v>11</v>
      </c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55"/>
    </row>
    <row r="333" spans="1:120" hidden="1" x14ac:dyDescent="0.25">
      <c r="A333" s="35">
        <v>52</v>
      </c>
      <c r="B333" s="36" t="s">
        <v>302</v>
      </c>
      <c r="C333" s="2" t="s">
        <v>40</v>
      </c>
      <c r="D333" s="36" t="s">
        <v>14</v>
      </c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 t="s">
        <v>177</v>
      </c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55"/>
    </row>
    <row r="334" spans="1:120" hidden="1" x14ac:dyDescent="0.25">
      <c r="A334" s="35">
        <v>57</v>
      </c>
      <c r="B334" s="36" t="s">
        <v>219</v>
      </c>
      <c r="C334" s="36" t="s">
        <v>32</v>
      </c>
      <c r="D334" s="36" t="s">
        <v>146</v>
      </c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>
        <v>1</v>
      </c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55">
        <v>6</v>
      </c>
    </row>
    <row r="335" spans="1:120" hidden="1" x14ac:dyDescent="0.25">
      <c r="A335" s="38">
        <v>72</v>
      </c>
      <c r="B335" s="36" t="s">
        <v>221</v>
      </c>
      <c r="C335" s="36" t="s">
        <v>23</v>
      </c>
      <c r="D335" s="39" t="s">
        <v>111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>
        <v>6</v>
      </c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58">
        <v>2</v>
      </c>
    </row>
    <row r="336" spans="1:120" hidden="1" x14ac:dyDescent="0.25">
      <c r="A336" s="35">
        <v>280</v>
      </c>
      <c r="B336" s="36" t="s">
        <v>226</v>
      </c>
      <c r="C336" s="36" t="s">
        <v>92</v>
      </c>
      <c r="D336" s="36" t="s">
        <v>46</v>
      </c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>
        <v>7</v>
      </c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56"/>
    </row>
    <row r="337" spans="1:120" hidden="1" x14ac:dyDescent="0.25">
      <c r="A337" s="35">
        <v>279</v>
      </c>
      <c r="B337" s="36" t="s">
        <v>251</v>
      </c>
      <c r="C337" s="36" t="s">
        <v>35</v>
      </c>
      <c r="D337" s="36" t="s">
        <v>20</v>
      </c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>
        <v>3</v>
      </c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56">
        <v>4</v>
      </c>
    </row>
    <row r="338" spans="1:120" hidden="1" x14ac:dyDescent="0.25">
      <c r="A338" s="35">
        <v>55</v>
      </c>
      <c r="B338" s="36" t="s">
        <v>336</v>
      </c>
      <c r="C338" s="36" t="s">
        <v>23</v>
      </c>
      <c r="D338" s="36" t="s">
        <v>150</v>
      </c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>
        <v>9</v>
      </c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56"/>
    </row>
    <row r="339" spans="1:120" hidden="1" x14ac:dyDescent="0.25">
      <c r="A339" s="35">
        <v>84</v>
      </c>
      <c r="B339" s="36" t="s">
        <v>271</v>
      </c>
      <c r="C339" s="36" t="s">
        <v>23</v>
      </c>
      <c r="D339" s="36" t="s">
        <v>53</v>
      </c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>
        <v>11</v>
      </c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55"/>
    </row>
    <row r="340" spans="1:120" hidden="1" x14ac:dyDescent="0.25">
      <c r="A340" s="35">
        <v>81</v>
      </c>
      <c r="B340" s="36" t="s">
        <v>345</v>
      </c>
      <c r="C340" s="36" t="s">
        <v>23</v>
      </c>
      <c r="D340" s="36" t="s">
        <v>175</v>
      </c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 t="s">
        <v>15</v>
      </c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56"/>
    </row>
    <row r="341" spans="1:120" hidden="1" x14ac:dyDescent="0.25">
      <c r="A341" s="35">
        <v>55</v>
      </c>
      <c r="B341" s="36" t="s">
        <v>228</v>
      </c>
      <c r="C341" s="36" t="s">
        <v>23</v>
      </c>
      <c r="D341" s="36" t="s">
        <v>150</v>
      </c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>
        <v>1</v>
      </c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56">
        <v>9</v>
      </c>
    </row>
    <row r="342" spans="1:120" hidden="1" x14ac:dyDescent="0.25">
      <c r="A342" s="38">
        <v>80</v>
      </c>
      <c r="B342" s="39" t="s">
        <v>315</v>
      </c>
      <c r="C342" s="2" t="s">
        <v>30</v>
      </c>
      <c r="D342" s="39" t="s">
        <v>12</v>
      </c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>
        <v>2</v>
      </c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55">
        <v>4</v>
      </c>
    </row>
    <row r="343" spans="1:120" hidden="1" x14ac:dyDescent="0.25">
      <c r="A343" s="35">
        <v>78</v>
      </c>
      <c r="B343" s="36" t="s">
        <v>227</v>
      </c>
      <c r="C343" s="2" t="s">
        <v>25</v>
      </c>
      <c r="D343" s="36" t="s">
        <v>174</v>
      </c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>
        <v>1</v>
      </c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55">
        <v>9</v>
      </c>
    </row>
    <row r="344" spans="1:120" hidden="1" x14ac:dyDescent="0.25">
      <c r="A344" s="35">
        <v>64</v>
      </c>
      <c r="B344" s="36" t="s">
        <v>222</v>
      </c>
      <c r="C344" s="36" t="s">
        <v>92</v>
      </c>
      <c r="D344" s="36" t="s">
        <v>46</v>
      </c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>
        <v>2</v>
      </c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55">
        <v>6</v>
      </c>
    </row>
    <row r="345" spans="1:120" hidden="1" x14ac:dyDescent="0.25">
      <c r="A345" s="35">
        <v>33</v>
      </c>
      <c r="B345" s="36" t="s">
        <v>220</v>
      </c>
      <c r="C345" s="36" t="s">
        <v>37</v>
      </c>
      <c r="D345" s="36" t="s">
        <v>19</v>
      </c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>
        <v>3</v>
      </c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56">
        <v>6</v>
      </c>
    </row>
    <row r="346" spans="1:120" hidden="1" x14ac:dyDescent="0.25">
      <c r="A346" s="35">
        <v>55</v>
      </c>
      <c r="B346" s="36" t="s">
        <v>336</v>
      </c>
      <c r="C346" s="36" t="s">
        <v>23</v>
      </c>
      <c r="D346" s="36" t="s">
        <v>150</v>
      </c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>
        <v>4</v>
      </c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56">
        <v>1</v>
      </c>
    </row>
    <row r="347" spans="1:120" hidden="1" x14ac:dyDescent="0.25">
      <c r="A347" s="35">
        <v>64</v>
      </c>
      <c r="B347" s="36" t="s">
        <v>222</v>
      </c>
      <c r="C347" s="36" t="s">
        <v>92</v>
      </c>
      <c r="D347" s="36" t="s">
        <v>46</v>
      </c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>
        <v>1</v>
      </c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56">
        <v>6</v>
      </c>
    </row>
    <row r="348" spans="1:120" hidden="1" x14ac:dyDescent="0.25">
      <c r="A348" s="38">
        <v>72</v>
      </c>
      <c r="B348" s="39" t="s">
        <v>221</v>
      </c>
      <c r="C348" s="39" t="s">
        <v>23</v>
      </c>
      <c r="D348" s="39" t="s">
        <v>111</v>
      </c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>
        <v>2</v>
      </c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55">
        <v>4</v>
      </c>
    </row>
    <row r="349" spans="1:120" hidden="1" x14ac:dyDescent="0.25">
      <c r="A349" s="35">
        <v>33</v>
      </c>
      <c r="B349" s="36" t="s">
        <v>220</v>
      </c>
      <c r="C349" s="36" t="s">
        <v>37</v>
      </c>
      <c r="D349" s="36" t="s">
        <v>19</v>
      </c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>
        <v>3</v>
      </c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55">
        <v>4</v>
      </c>
    </row>
    <row r="350" spans="1:120" hidden="1" x14ac:dyDescent="0.25">
      <c r="A350" s="35">
        <v>56</v>
      </c>
      <c r="B350" s="36" t="s">
        <v>273</v>
      </c>
      <c r="C350" s="36" t="s">
        <v>32</v>
      </c>
      <c r="D350" s="36" t="s">
        <v>146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>
        <v>6</v>
      </c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55">
        <v>1</v>
      </c>
    </row>
    <row r="351" spans="1:120" hidden="1" x14ac:dyDescent="0.25">
      <c r="A351" s="38">
        <v>48</v>
      </c>
      <c r="B351" s="39" t="s">
        <v>357</v>
      </c>
      <c r="C351" s="39" t="s">
        <v>32</v>
      </c>
      <c r="D351" s="39" t="s">
        <v>146</v>
      </c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>
        <v>7</v>
      </c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55"/>
    </row>
    <row r="352" spans="1:120" hidden="1" x14ac:dyDescent="0.25">
      <c r="A352" s="35">
        <v>65</v>
      </c>
      <c r="B352" s="36" t="s">
        <v>264</v>
      </c>
      <c r="C352" s="36" t="s">
        <v>32</v>
      </c>
      <c r="D352" s="36" t="s">
        <v>146</v>
      </c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>
        <v>8</v>
      </c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55"/>
    </row>
    <row r="353" spans="1:120" hidden="1" x14ac:dyDescent="0.25">
      <c r="A353" s="35">
        <v>51</v>
      </c>
      <c r="B353" s="36" t="s">
        <v>259</v>
      </c>
      <c r="C353" s="2" t="s">
        <v>40</v>
      </c>
      <c r="D353" s="36" t="s">
        <v>14</v>
      </c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 t="s">
        <v>69</v>
      </c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55"/>
    </row>
    <row r="354" spans="1:120" hidden="1" x14ac:dyDescent="0.25">
      <c r="A354" s="35">
        <v>52</v>
      </c>
      <c r="B354" s="36" t="s">
        <v>302</v>
      </c>
      <c r="C354" s="2" t="s">
        <v>40</v>
      </c>
      <c r="D354" s="36" t="s">
        <v>14</v>
      </c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 t="s">
        <v>69</v>
      </c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55"/>
    </row>
    <row r="355" spans="1:120" hidden="1" x14ac:dyDescent="0.25">
      <c r="A355" s="38">
        <v>55</v>
      </c>
      <c r="B355" s="39" t="s">
        <v>336</v>
      </c>
      <c r="C355" s="39" t="s">
        <v>23</v>
      </c>
      <c r="D355" s="39" t="s">
        <v>150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>
        <v>1</v>
      </c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55">
        <v>3</v>
      </c>
    </row>
    <row r="356" spans="1:120" hidden="1" x14ac:dyDescent="0.25">
      <c r="A356" s="35">
        <v>51</v>
      </c>
      <c r="B356" s="36" t="s">
        <v>259</v>
      </c>
      <c r="C356" s="2" t="s">
        <v>40</v>
      </c>
      <c r="D356" s="36" t="s">
        <v>14</v>
      </c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>
        <v>4</v>
      </c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55">
        <v>1</v>
      </c>
    </row>
    <row r="357" spans="1:120" hidden="1" x14ac:dyDescent="0.25">
      <c r="A357" s="35">
        <v>80</v>
      </c>
      <c r="B357" s="36" t="s">
        <v>315</v>
      </c>
      <c r="C357" s="2" t="s">
        <v>30</v>
      </c>
      <c r="D357" s="36" t="s">
        <v>12</v>
      </c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>
        <v>2</v>
      </c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55">
        <v>2</v>
      </c>
    </row>
    <row r="358" spans="1:120" hidden="1" x14ac:dyDescent="0.25">
      <c r="A358" s="35">
        <v>279</v>
      </c>
      <c r="B358" s="36" t="s">
        <v>251</v>
      </c>
      <c r="C358" s="36" t="s">
        <v>35</v>
      </c>
      <c r="D358" s="36" t="s">
        <v>20</v>
      </c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>
        <v>7</v>
      </c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55"/>
    </row>
    <row r="359" spans="1:120" hidden="1" x14ac:dyDescent="0.25">
      <c r="A359" s="35">
        <v>57</v>
      </c>
      <c r="B359" s="36" t="s">
        <v>219</v>
      </c>
      <c r="C359" s="36" t="s">
        <v>32</v>
      </c>
      <c r="D359" s="36" t="s">
        <v>146</v>
      </c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>
        <v>1</v>
      </c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55">
        <v>6</v>
      </c>
    </row>
    <row r="360" spans="1:120" hidden="1" x14ac:dyDescent="0.25">
      <c r="A360" s="35">
        <v>33</v>
      </c>
      <c r="B360" s="36" t="s">
        <v>220</v>
      </c>
      <c r="C360" s="36" t="s">
        <v>37</v>
      </c>
      <c r="D360" s="36" t="s">
        <v>19</v>
      </c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>
        <v>2</v>
      </c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55">
        <v>4</v>
      </c>
    </row>
    <row r="361" spans="1:120" hidden="1" x14ac:dyDescent="0.25">
      <c r="A361" s="35">
        <v>72</v>
      </c>
      <c r="B361" s="36" t="s">
        <v>221</v>
      </c>
      <c r="C361" s="36" t="s">
        <v>23</v>
      </c>
      <c r="D361" s="36" t="s">
        <v>111</v>
      </c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>
        <v>3</v>
      </c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55">
        <v>4</v>
      </c>
    </row>
    <row r="362" spans="1:120" hidden="1" x14ac:dyDescent="0.25">
      <c r="A362" s="35">
        <v>64</v>
      </c>
      <c r="B362" s="36" t="s">
        <v>222</v>
      </c>
      <c r="C362" s="36" t="s">
        <v>92</v>
      </c>
      <c r="D362" s="36" t="s">
        <v>46</v>
      </c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>
        <v>4</v>
      </c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55">
        <v>2</v>
      </c>
    </row>
    <row r="363" spans="1:120" hidden="1" x14ac:dyDescent="0.25">
      <c r="A363" s="35">
        <v>80</v>
      </c>
      <c r="B363" s="36" t="s">
        <v>315</v>
      </c>
      <c r="C363" s="2" t="s">
        <v>30</v>
      </c>
      <c r="D363" s="36" t="s">
        <v>12</v>
      </c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>
        <v>1</v>
      </c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56">
        <v>3</v>
      </c>
    </row>
    <row r="364" spans="1:120" hidden="1" x14ac:dyDescent="0.25">
      <c r="A364" s="38">
        <v>279</v>
      </c>
      <c r="B364" s="39" t="s">
        <v>251</v>
      </c>
      <c r="C364" s="36" t="s">
        <v>35</v>
      </c>
      <c r="D364" s="39" t="s">
        <v>20</v>
      </c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>
        <v>6</v>
      </c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55">
        <v>1</v>
      </c>
    </row>
    <row r="365" spans="1:120" hidden="1" x14ac:dyDescent="0.25">
      <c r="A365" s="35">
        <v>51</v>
      </c>
      <c r="B365" s="36" t="s">
        <v>259</v>
      </c>
      <c r="C365" s="2" t="s">
        <v>40</v>
      </c>
      <c r="D365" s="36" t="s">
        <v>14</v>
      </c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>
        <v>8</v>
      </c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55"/>
    </row>
    <row r="366" spans="1:120" hidden="1" x14ac:dyDescent="0.25">
      <c r="A366" s="35">
        <v>2</v>
      </c>
      <c r="B366" s="36" t="s">
        <v>329</v>
      </c>
      <c r="C366" s="2" t="s">
        <v>30</v>
      </c>
      <c r="D366" s="36" t="s">
        <v>12</v>
      </c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>
        <v>1</v>
      </c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56">
        <v>3</v>
      </c>
    </row>
    <row r="367" spans="1:120" hidden="1" x14ac:dyDescent="0.25">
      <c r="A367" s="38">
        <v>36</v>
      </c>
      <c r="B367" s="39" t="s">
        <v>303</v>
      </c>
      <c r="C367" s="2" t="s">
        <v>30</v>
      </c>
      <c r="D367" s="39" t="s">
        <v>12</v>
      </c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>
        <v>2</v>
      </c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55">
        <v>2</v>
      </c>
    </row>
    <row r="368" spans="1:120" hidden="1" x14ac:dyDescent="0.25">
      <c r="A368" s="35">
        <v>15</v>
      </c>
      <c r="B368" s="36" t="s">
        <v>269</v>
      </c>
      <c r="C368" s="36" t="s">
        <v>23</v>
      </c>
      <c r="D368" s="36" t="s">
        <v>111</v>
      </c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>
        <v>3</v>
      </c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56">
        <v>2</v>
      </c>
    </row>
    <row r="369" spans="1:120" hidden="1" x14ac:dyDescent="0.25">
      <c r="A369" s="35">
        <v>25</v>
      </c>
      <c r="B369" s="36" t="s">
        <v>323</v>
      </c>
      <c r="C369" s="2" t="s">
        <v>25</v>
      </c>
      <c r="D369" s="36" t="s">
        <v>13</v>
      </c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>
        <v>5</v>
      </c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56">
        <v>1</v>
      </c>
    </row>
    <row r="370" spans="1:120" hidden="1" x14ac:dyDescent="0.25">
      <c r="A370" s="35">
        <v>21</v>
      </c>
      <c r="B370" s="36" t="s">
        <v>253</v>
      </c>
      <c r="C370" s="2" t="s">
        <v>40</v>
      </c>
      <c r="D370" s="36" t="s">
        <v>14</v>
      </c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>
        <v>7</v>
      </c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56"/>
    </row>
    <row r="371" spans="1:120" hidden="1" x14ac:dyDescent="0.25">
      <c r="A371" s="38">
        <v>47</v>
      </c>
      <c r="B371" s="39" t="s">
        <v>265</v>
      </c>
      <c r="C371" s="2" t="s">
        <v>40</v>
      </c>
      <c r="D371" s="39" t="s">
        <v>14</v>
      </c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>
        <v>8</v>
      </c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55"/>
    </row>
    <row r="372" spans="1:120" hidden="1" x14ac:dyDescent="0.25">
      <c r="A372" s="35">
        <v>17</v>
      </c>
      <c r="B372" s="36" t="s">
        <v>349</v>
      </c>
      <c r="C372" s="2" t="s">
        <v>25</v>
      </c>
      <c r="D372" s="36" t="s">
        <v>110</v>
      </c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>
        <v>9</v>
      </c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55"/>
    </row>
    <row r="373" spans="1:120" hidden="1" x14ac:dyDescent="0.25">
      <c r="A373" s="35">
        <v>276</v>
      </c>
      <c r="B373" s="36" t="s">
        <v>316</v>
      </c>
      <c r="C373" s="2" t="s">
        <v>40</v>
      </c>
      <c r="D373" s="36" t="s">
        <v>14</v>
      </c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>
        <v>16</v>
      </c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56"/>
    </row>
    <row r="374" spans="1:120" hidden="1" x14ac:dyDescent="0.25">
      <c r="A374" s="35">
        <v>14</v>
      </c>
      <c r="B374" s="36" t="s">
        <v>261</v>
      </c>
      <c r="C374" s="2" t="s">
        <v>40</v>
      </c>
      <c r="D374" s="36" t="s">
        <v>14</v>
      </c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 t="s">
        <v>73</v>
      </c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55"/>
    </row>
    <row r="375" spans="1:120" hidden="1" x14ac:dyDescent="0.25">
      <c r="A375" s="35">
        <v>277</v>
      </c>
      <c r="B375" s="36" t="s">
        <v>276</v>
      </c>
      <c r="C375" s="2" t="s">
        <v>40</v>
      </c>
      <c r="D375" s="36" t="s">
        <v>14</v>
      </c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 t="s">
        <v>73</v>
      </c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55"/>
    </row>
    <row r="376" spans="1:120" hidden="1" x14ac:dyDescent="0.25">
      <c r="A376" s="38">
        <v>5</v>
      </c>
      <c r="B376" s="39" t="s">
        <v>254</v>
      </c>
      <c r="C376" s="2" t="s">
        <v>30</v>
      </c>
      <c r="D376" s="39" t="s">
        <v>12</v>
      </c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 t="s">
        <v>62</v>
      </c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55"/>
    </row>
    <row r="377" spans="1:120" hidden="1" x14ac:dyDescent="0.25">
      <c r="A377" s="38">
        <v>46</v>
      </c>
      <c r="B377" s="39" t="s">
        <v>283</v>
      </c>
      <c r="C377" s="2" t="s">
        <v>30</v>
      </c>
      <c r="D377" s="39" t="s">
        <v>12</v>
      </c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 t="s">
        <v>62</v>
      </c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55"/>
    </row>
    <row r="378" spans="1:120" hidden="1" x14ac:dyDescent="0.25">
      <c r="A378" s="35">
        <v>275</v>
      </c>
      <c r="B378" s="39" t="s">
        <v>266</v>
      </c>
      <c r="C378" s="36" t="s">
        <v>23</v>
      </c>
      <c r="D378" s="36" t="s">
        <v>134</v>
      </c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 t="s">
        <v>62</v>
      </c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56"/>
    </row>
    <row r="379" spans="1:120" hidden="1" x14ac:dyDescent="0.25">
      <c r="A379" s="35">
        <v>20</v>
      </c>
      <c r="B379" s="39" t="s">
        <v>318</v>
      </c>
      <c r="C379" s="2" t="s">
        <v>40</v>
      </c>
      <c r="D379" s="36" t="s">
        <v>14</v>
      </c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 t="s">
        <v>62</v>
      </c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55"/>
    </row>
    <row r="380" spans="1:120" hidden="1" x14ac:dyDescent="0.25">
      <c r="A380" s="35">
        <v>21</v>
      </c>
      <c r="B380" s="36" t="s">
        <v>215</v>
      </c>
      <c r="C380" s="2" t="s">
        <v>40</v>
      </c>
      <c r="D380" s="36" t="s">
        <v>14</v>
      </c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>
        <v>1</v>
      </c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55">
        <v>6</v>
      </c>
    </row>
    <row r="381" spans="1:120" hidden="1" x14ac:dyDescent="0.25">
      <c r="A381" s="35">
        <v>34</v>
      </c>
      <c r="B381" s="36" t="s">
        <v>216</v>
      </c>
      <c r="C381" s="36" t="s">
        <v>23</v>
      </c>
      <c r="D381" s="36" t="s">
        <v>134</v>
      </c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>
        <v>2</v>
      </c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56">
        <v>4</v>
      </c>
    </row>
    <row r="382" spans="1:120" hidden="1" x14ac:dyDescent="0.25">
      <c r="A382" s="38">
        <v>41</v>
      </c>
      <c r="B382" s="39" t="s">
        <v>299</v>
      </c>
      <c r="C382" s="36" t="s">
        <v>23</v>
      </c>
      <c r="D382" s="39" t="s">
        <v>133</v>
      </c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>
        <v>1</v>
      </c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58">
        <v>3</v>
      </c>
    </row>
    <row r="383" spans="1:120" hidden="1" x14ac:dyDescent="0.25">
      <c r="A383" s="35">
        <v>6</v>
      </c>
      <c r="B383" s="36" t="s">
        <v>327</v>
      </c>
      <c r="C383" s="36" t="s">
        <v>23</v>
      </c>
      <c r="D383" s="36" t="s">
        <v>114</v>
      </c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>
        <v>3</v>
      </c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56">
        <v>2</v>
      </c>
    </row>
    <row r="384" spans="1:120" hidden="1" x14ac:dyDescent="0.25">
      <c r="A384" s="35">
        <v>20</v>
      </c>
      <c r="B384" s="36" t="s">
        <v>318</v>
      </c>
      <c r="C384" s="2" t="s">
        <v>40</v>
      </c>
      <c r="D384" s="36" t="s">
        <v>14</v>
      </c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>
        <v>4</v>
      </c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56">
        <v>1</v>
      </c>
    </row>
    <row r="385" spans="1:120" hidden="1" x14ac:dyDescent="0.25">
      <c r="A385" s="35">
        <v>34</v>
      </c>
      <c r="B385" s="36" t="s">
        <v>335</v>
      </c>
      <c r="C385" s="36" t="s">
        <v>23</v>
      </c>
      <c r="D385" s="36" t="s">
        <v>134</v>
      </c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>
        <v>6</v>
      </c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55">
        <v>1</v>
      </c>
    </row>
    <row r="386" spans="1:120" hidden="1" x14ac:dyDescent="0.25">
      <c r="A386" s="35">
        <v>3</v>
      </c>
      <c r="B386" s="36" t="s">
        <v>351</v>
      </c>
      <c r="C386" s="2" t="s">
        <v>40</v>
      </c>
      <c r="D386" s="36" t="s">
        <v>14</v>
      </c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>
        <v>10</v>
      </c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55"/>
    </row>
    <row r="387" spans="1:120" hidden="1" x14ac:dyDescent="0.25">
      <c r="A387" s="38">
        <v>24</v>
      </c>
      <c r="B387" s="39" t="s">
        <v>337</v>
      </c>
      <c r="C387" s="2" t="s">
        <v>127</v>
      </c>
      <c r="D387" s="39" t="s">
        <v>135</v>
      </c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>
        <v>11</v>
      </c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58"/>
    </row>
    <row r="388" spans="1:120" hidden="1" x14ac:dyDescent="0.25">
      <c r="A388" s="35">
        <v>1</v>
      </c>
      <c r="B388" s="36" t="s">
        <v>332</v>
      </c>
      <c r="C388" s="2" t="s">
        <v>127</v>
      </c>
      <c r="D388" s="36" t="s">
        <v>138</v>
      </c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 t="s">
        <v>90</v>
      </c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56"/>
    </row>
    <row r="389" spans="1:120" hidden="1" x14ac:dyDescent="0.25">
      <c r="A389" s="35">
        <v>12</v>
      </c>
      <c r="B389" s="36" t="s">
        <v>360</v>
      </c>
      <c r="C389" s="2" t="s">
        <v>127</v>
      </c>
      <c r="D389" s="36" t="s">
        <v>135</v>
      </c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 t="s">
        <v>90</v>
      </c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56"/>
    </row>
    <row r="390" spans="1:120" hidden="1" x14ac:dyDescent="0.25">
      <c r="A390" s="35">
        <v>18</v>
      </c>
      <c r="B390" s="36" t="s">
        <v>317</v>
      </c>
      <c r="C390" s="2" t="s">
        <v>30</v>
      </c>
      <c r="D390" s="36" t="s">
        <v>12</v>
      </c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 t="s">
        <v>142</v>
      </c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56"/>
    </row>
    <row r="391" spans="1:120" hidden="1" x14ac:dyDescent="0.25">
      <c r="A391" s="35">
        <v>30</v>
      </c>
      <c r="B391" s="36" t="s">
        <v>272</v>
      </c>
      <c r="C391" s="2" t="s">
        <v>131</v>
      </c>
      <c r="D391" s="36" t="s">
        <v>115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 t="s">
        <v>142</v>
      </c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56"/>
    </row>
    <row r="392" spans="1:120" hidden="1" x14ac:dyDescent="0.25">
      <c r="A392" s="35">
        <v>28</v>
      </c>
      <c r="B392" s="36" t="s">
        <v>333</v>
      </c>
      <c r="C392" s="36" t="s">
        <v>23</v>
      </c>
      <c r="D392" s="36" t="s">
        <v>134</v>
      </c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 t="s">
        <v>142</v>
      </c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56"/>
    </row>
    <row r="393" spans="1:120" hidden="1" x14ac:dyDescent="0.25">
      <c r="A393" s="44">
        <v>36</v>
      </c>
      <c r="B393" s="19" t="s">
        <v>303</v>
      </c>
      <c r="C393" s="2" t="s">
        <v>30</v>
      </c>
      <c r="D393" s="19" t="s">
        <v>12</v>
      </c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>
        <v>1</v>
      </c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46"/>
      <c r="AR393" s="46"/>
      <c r="AS393" s="46"/>
      <c r="AT393" s="46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48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54">
        <v>3</v>
      </c>
    </row>
    <row r="394" spans="1:120" hidden="1" x14ac:dyDescent="0.25">
      <c r="A394" s="10">
        <v>2</v>
      </c>
      <c r="B394" s="2" t="s">
        <v>329</v>
      </c>
      <c r="C394" s="2" t="s">
        <v>30</v>
      </c>
      <c r="D394" s="2" t="s">
        <v>12</v>
      </c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>
        <v>2</v>
      </c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1"/>
      <c r="AR394" s="1"/>
      <c r="AS394" s="1"/>
      <c r="AT394" s="1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14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57">
        <v>2</v>
      </c>
    </row>
    <row r="395" spans="1:120" hidden="1" x14ac:dyDescent="0.25">
      <c r="A395" s="10">
        <v>17</v>
      </c>
      <c r="B395" s="2" t="s">
        <v>349</v>
      </c>
      <c r="C395" s="2" t="s">
        <v>25</v>
      </c>
      <c r="D395" s="2" t="s">
        <v>110</v>
      </c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>
        <v>3</v>
      </c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1"/>
      <c r="AR395" s="1"/>
      <c r="AS395" s="1"/>
      <c r="AT395" s="1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15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57">
        <v>2</v>
      </c>
    </row>
    <row r="396" spans="1:120" hidden="1" x14ac:dyDescent="0.25">
      <c r="A396" s="10">
        <v>25</v>
      </c>
      <c r="B396" s="2" t="s">
        <v>323</v>
      </c>
      <c r="C396" s="2" t="s">
        <v>25</v>
      </c>
      <c r="D396" s="2" t="s">
        <v>13</v>
      </c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>
        <v>4</v>
      </c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54">
        <v>1</v>
      </c>
    </row>
    <row r="397" spans="1:120" hidden="1" x14ac:dyDescent="0.25">
      <c r="A397" s="38">
        <v>46</v>
      </c>
      <c r="B397" s="39" t="s">
        <v>283</v>
      </c>
      <c r="C397" s="2" t="s">
        <v>30</v>
      </c>
      <c r="D397" s="39" t="s">
        <v>12</v>
      </c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>
        <v>6</v>
      </c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55">
        <v>1</v>
      </c>
    </row>
    <row r="398" spans="1:120" hidden="1" x14ac:dyDescent="0.25">
      <c r="A398" s="35">
        <v>13</v>
      </c>
      <c r="B398" s="36" t="s">
        <v>281</v>
      </c>
      <c r="C398" s="36" t="s">
        <v>23</v>
      </c>
      <c r="D398" s="36" t="s">
        <v>136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>
        <v>7</v>
      </c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55"/>
    </row>
    <row r="399" spans="1:120" hidden="1" x14ac:dyDescent="0.25">
      <c r="A399" s="10">
        <v>2</v>
      </c>
      <c r="B399" s="2" t="s">
        <v>329</v>
      </c>
      <c r="C399" s="2" t="s">
        <v>30</v>
      </c>
      <c r="D399" s="2" t="s">
        <v>12</v>
      </c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>
        <v>1</v>
      </c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54">
        <v>3</v>
      </c>
    </row>
    <row r="400" spans="1:120" hidden="1" x14ac:dyDescent="0.25">
      <c r="A400" s="10">
        <v>25</v>
      </c>
      <c r="B400" s="2" t="s">
        <v>323</v>
      </c>
      <c r="C400" s="2" t="s">
        <v>25</v>
      </c>
      <c r="D400" s="2" t="s">
        <v>13</v>
      </c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>
        <v>5</v>
      </c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57">
        <v>1</v>
      </c>
    </row>
    <row r="401" spans="1:120" hidden="1" x14ac:dyDescent="0.25">
      <c r="A401" s="10">
        <v>38</v>
      </c>
      <c r="B401" s="2" t="s">
        <v>324</v>
      </c>
      <c r="C401" s="2" t="s">
        <v>30</v>
      </c>
      <c r="D401" s="2" t="s">
        <v>12</v>
      </c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>
        <v>6</v>
      </c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54">
        <v>1</v>
      </c>
    </row>
    <row r="402" spans="1:120" hidden="1" x14ac:dyDescent="0.25">
      <c r="A402" s="10">
        <v>46</v>
      </c>
      <c r="B402" s="2" t="s">
        <v>283</v>
      </c>
      <c r="C402" s="2" t="s">
        <v>30</v>
      </c>
      <c r="D402" s="2" t="s">
        <v>12</v>
      </c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>
        <v>7</v>
      </c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55"/>
    </row>
    <row r="403" spans="1:120" hidden="1" x14ac:dyDescent="0.25">
      <c r="A403" s="44">
        <v>27</v>
      </c>
      <c r="B403" s="19" t="s">
        <v>284</v>
      </c>
      <c r="C403" s="36" t="s">
        <v>23</v>
      </c>
      <c r="D403" s="19" t="s">
        <v>133</v>
      </c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>
        <v>8</v>
      </c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55"/>
    </row>
    <row r="404" spans="1:120" hidden="1" x14ac:dyDescent="0.25">
      <c r="A404" s="10">
        <v>21</v>
      </c>
      <c r="B404" s="2" t="s">
        <v>253</v>
      </c>
      <c r="C404" s="2" t="s">
        <v>40</v>
      </c>
      <c r="D404" s="2" t="s">
        <v>14</v>
      </c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 t="s">
        <v>90</v>
      </c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55"/>
    </row>
    <row r="405" spans="1:120" hidden="1" x14ac:dyDescent="0.25">
      <c r="A405" s="10">
        <v>47</v>
      </c>
      <c r="B405" s="2" t="s">
        <v>265</v>
      </c>
      <c r="C405" s="2" t="s">
        <v>40</v>
      </c>
      <c r="D405" s="2" t="s">
        <v>14</v>
      </c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 t="s">
        <v>90</v>
      </c>
      <c r="Z405" s="2"/>
      <c r="AA405" s="2"/>
      <c r="AB405" s="2"/>
      <c r="AC405" s="2"/>
      <c r="AD405" s="2"/>
      <c r="AE405" s="2"/>
      <c r="AF405" s="2"/>
      <c r="AG405" s="1"/>
      <c r="AH405" s="1"/>
      <c r="AI405" s="1"/>
      <c r="AJ405" s="1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14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56"/>
    </row>
    <row r="406" spans="1:120" hidden="1" x14ac:dyDescent="0.25">
      <c r="A406" s="10">
        <v>276</v>
      </c>
      <c r="B406" s="2" t="s">
        <v>316</v>
      </c>
      <c r="C406" s="2" t="s">
        <v>40</v>
      </c>
      <c r="D406" s="2" t="s">
        <v>14</v>
      </c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 t="s">
        <v>139</v>
      </c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1"/>
      <c r="AR406" s="1"/>
      <c r="AS406" s="1"/>
      <c r="AT406" s="1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15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56"/>
    </row>
    <row r="407" spans="1:120" hidden="1" x14ac:dyDescent="0.25">
      <c r="A407" s="10">
        <v>5</v>
      </c>
      <c r="B407" s="2" t="s">
        <v>254</v>
      </c>
      <c r="C407" s="2" t="s">
        <v>30</v>
      </c>
      <c r="D407" s="2" t="s">
        <v>12</v>
      </c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 t="s">
        <v>86</v>
      </c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55"/>
    </row>
    <row r="408" spans="1:120" hidden="1" x14ac:dyDescent="0.25">
      <c r="A408" s="44">
        <v>20</v>
      </c>
      <c r="B408" s="19" t="s">
        <v>318</v>
      </c>
      <c r="C408" s="2" t="s">
        <v>40</v>
      </c>
      <c r="D408" s="19" t="s">
        <v>14</v>
      </c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46"/>
      <c r="X408" s="46"/>
      <c r="Y408" s="46" t="s">
        <v>86</v>
      </c>
      <c r="Z408" s="46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58"/>
    </row>
    <row r="409" spans="1:120" hidden="1" x14ac:dyDescent="0.25">
      <c r="A409" s="10">
        <v>21</v>
      </c>
      <c r="B409" s="2" t="s">
        <v>215</v>
      </c>
      <c r="C409" s="2" t="s">
        <v>40</v>
      </c>
      <c r="D409" s="2" t="s">
        <v>14</v>
      </c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>
        <v>2</v>
      </c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57">
        <v>4</v>
      </c>
    </row>
    <row r="410" spans="1:120" hidden="1" x14ac:dyDescent="0.25">
      <c r="A410" s="10">
        <v>34</v>
      </c>
      <c r="B410" s="2" t="s">
        <v>216</v>
      </c>
      <c r="C410" s="36" t="s">
        <v>23</v>
      </c>
      <c r="D410" s="2" t="s">
        <v>134</v>
      </c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>
        <v>3</v>
      </c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54">
        <v>4</v>
      </c>
    </row>
    <row r="411" spans="1:120" hidden="1" x14ac:dyDescent="0.25">
      <c r="A411" s="10">
        <v>18</v>
      </c>
      <c r="B411" s="2" t="s">
        <v>317</v>
      </c>
      <c r="C411" s="2" t="s">
        <v>30</v>
      </c>
      <c r="D411" s="2" t="s">
        <v>12</v>
      </c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>
        <v>2</v>
      </c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57">
        <v>2</v>
      </c>
    </row>
    <row r="412" spans="1:120" hidden="1" x14ac:dyDescent="0.25">
      <c r="A412" s="10">
        <v>41</v>
      </c>
      <c r="B412" s="2" t="s">
        <v>299</v>
      </c>
      <c r="C412" s="36" t="s">
        <v>23</v>
      </c>
      <c r="D412" s="2" t="s">
        <v>133</v>
      </c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>
        <v>3</v>
      </c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54">
        <v>2</v>
      </c>
    </row>
    <row r="413" spans="1:120" hidden="1" x14ac:dyDescent="0.25">
      <c r="A413" s="10">
        <v>20</v>
      </c>
      <c r="B413" s="2" t="s">
        <v>318</v>
      </c>
      <c r="C413" s="2" t="s">
        <v>40</v>
      </c>
      <c r="D413" s="2" t="s">
        <v>14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>
        <v>4</v>
      </c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1"/>
      <c r="AR413" s="1"/>
      <c r="AS413" s="1"/>
      <c r="AT413" s="1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54">
        <v>1</v>
      </c>
    </row>
    <row r="414" spans="1:120" hidden="1" x14ac:dyDescent="0.25">
      <c r="A414" s="10">
        <v>30</v>
      </c>
      <c r="B414" s="2" t="s">
        <v>272</v>
      </c>
      <c r="C414" s="2" t="s">
        <v>131</v>
      </c>
      <c r="D414" s="2" t="s">
        <v>115</v>
      </c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>
        <v>5</v>
      </c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1"/>
      <c r="AR414" s="1"/>
      <c r="AS414" s="1"/>
      <c r="AT414" s="1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54">
        <v>1</v>
      </c>
    </row>
    <row r="415" spans="1:120" hidden="1" x14ac:dyDescent="0.25">
      <c r="A415" s="44">
        <v>34</v>
      </c>
      <c r="B415" s="19" t="s">
        <v>335</v>
      </c>
      <c r="C415" s="36" t="s">
        <v>23</v>
      </c>
      <c r="D415" s="19" t="s">
        <v>134</v>
      </c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>
        <v>6</v>
      </c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54">
        <v>1</v>
      </c>
    </row>
    <row r="416" spans="1:120" hidden="1" x14ac:dyDescent="0.25">
      <c r="A416" s="10">
        <v>28</v>
      </c>
      <c r="B416" s="2" t="s">
        <v>333</v>
      </c>
      <c r="C416" s="36" t="s">
        <v>23</v>
      </c>
      <c r="D416" s="2" t="s">
        <v>134</v>
      </c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>
        <v>8</v>
      </c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55"/>
    </row>
    <row r="417" spans="1:120" hidden="1" x14ac:dyDescent="0.25">
      <c r="A417" s="10">
        <v>4</v>
      </c>
      <c r="B417" s="2" t="s">
        <v>274</v>
      </c>
      <c r="C417" s="2" t="s">
        <v>127</v>
      </c>
      <c r="D417" s="2" t="s">
        <v>135</v>
      </c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>
        <v>11</v>
      </c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56"/>
    </row>
    <row r="418" spans="1:120" hidden="1" x14ac:dyDescent="0.25">
      <c r="A418" s="10">
        <v>1</v>
      </c>
      <c r="B418" s="2" t="s">
        <v>332</v>
      </c>
      <c r="C418" s="2" t="s">
        <v>127</v>
      </c>
      <c r="D418" s="2" t="s">
        <v>138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>
        <v>12</v>
      </c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56"/>
    </row>
    <row r="419" spans="1:120" hidden="1" x14ac:dyDescent="0.25">
      <c r="A419" s="10">
        <v>24</v>
      </c>
      <c r="B419" s="2" t="s">
        <v>337</v>
      </c>
      <c r="C419" s="2" t="s">
        <v>127</v>
      </c>
      <c r="D419" s="2" t="s">
        <v>135</v>
      </c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>
        <v>13</v>
      </c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55"/>
    </row>
    <row r="420" spans="1:120" hidden="1" x14ac:dyDescent="0.25">
      <c r="A420" s="10">
        <v>23</v>
      </c>
      <c r="B420" s="2" t="s">
        <v>277</v>
      </c>
      <c r="C420" s="2" t="s">
        <v>127</v>
      </c>
      <c r="D420" s="2" t="s">
        <v>135</v>
      </c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>
        <v>14</v>
      </c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56"/>
    </row>
    <row r="421" spans="1:120" hidden="1" x14ac:dyDescent="0.25">
      <c r="A421" s="44">
        <v>19</v>
      </c>
      <c r="B421" s="19" t="s">
        <v>344</v>
      </c>
      <c r="C421" s="2" t="s">
        <v>30</v>
      </c>
      <c r="D421" s="19" t="s">
        <v>12</v>
      </c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 t="s">
        <v>69</v>
      </c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58"/>
    </row>
    <row r="422" spans="1:120" hidden="1" x14ac:dyDescent="0.25">
      <c r="A422" s="44">
        <v>3</v>
      </c>
      <c r="B422" s="19" t="s">
        <v>351</v>
      </c>
      <c r="C422" s="2" t="s">
        <v>40</v>
      </c>
      <c r="D422" s="19" t="s">
        <v>14</v>
      </c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 t="s">
        <v>69</v>
      </c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58"/>
    </row>
    <row r="423" spans="1:120" hidden="1" x14ac:dyDescent="0.25">
      <c r="A423" s="10">
        <v>36</v>
      </c>
      <c r="B423" s="2" t="s">
        <v>303</v>
      </c>
      <c r="C423" s="2" t="s">
        <v>30</v>
      </c>
      <c r="D423" s="2" t="s">
        <v>12</v>
      </c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>
        <v>1</v>
      </c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14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57">
        <v>3</v>
      </c>
    </row>
    <row r="424" spans="1:120" hidden="1" x14ac:dyDescent="0.25">
      <c r="A424" s="10">
        <v>13</v>
      </c>
      <c r="B424" s="2" t="s">
        <v>281</v>
      </c>
      <c r="C424" s="36" t="s">
        <v>23</v>
      </c>
      <c r="D424" s="2" t="s">
        <v>136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>
        <v>4</v>
      </c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57">
        <v>1</v>
      </c>
    </row>
    <row r="425" spans="1:120" hidden="1" x14ac:dyDescent="0.25">
      <c r="A425" s="10">
        <v>275</v>
      </c>
      <c r="B425" s="2" t="s">
        <v>266</v>
      </c>
      <c r="C425" s="36" t="s">
        <v>23</v>
      </c>
      <c r="D425" s="2" t="s">
        <v>134</v>
      </c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>
        <v>5</v>
      </c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54">
        <v>1</v>
      </c>
    </row>
    <row r="426" spans="1:120" hidden="1" x14ac:dyDescent="0.25">
      <c r="A426" s="10">
        <v>15</v>
      </c>
      <c r="B426" s="2" t="s">
        <v>269</v>
      </c>
      <c r="C426" s="36" t="s">
        <v>23</v>
      </c>
      <c r="D426" s="2" t="s">
        <v>111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>
        <v>1</v>
      </c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54">
        <v>3</v>
      </c>
    </row>
    <row r="427" spans="1:120" hidden="1" x14ac:dyDescent="0.25">
      <c r="A427" s="44">
        <v>17</v>
      </c>
      <c r="B427" s="2" t="s">
        <v>349</v>
      </c>
      <c r="C427" s="2" t="s">
        <v>25</v>
      </c>
      <c r="D427" s="19" t="s">
        <v>110</v>
      </c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>
        <v>2</v>
      </c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48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54">
        <v>2</v>
      </c>
    </row>
    <row r="428" spans="1:120" hidden="1" x14ac:dyDescent="0.25">
      <c r="A428" s="10">
        <v>36</v>
      </c>
      <c r="B428" s="2" t="s">
        <v>303</v>
      </c>
      <c r="C428" s="2" t="s">
        <v>30</v>
      </c>
      <c r="D428" s="2" t="s">
        <v>12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>
        <v>3</v>
      </c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54">
        <v>2</v>
      </c>
    </row>
    <row r="429" spans="1:120" hidden="1" x14ac:dyDescent="0.25">
      <c r="A429" s="10">
        <v>13</v>
      </c>
      <c r="B429" s="2" t="s">
        <v>281</v>
      </c>
      <c r="C429" s="36" t="s">
        <v>23</v>
      </c>
      <c r="D429" s="2" t="s">
        <v>136</v>
      </c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>
        <v>7</v>
      </c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56"/>
    </row>
    <row r="430" spans="1:120" hidden="1" x14ac:dyDescent="0.25">
      <c r="A430" s="10">
        <v>25</v>
      </c>
      <c r="B430" s="2" t="s">
        <v>323</v>
      </c>
      <c r="C430" s="2" t="s">
        <v>25</v>
      </c>
      <c r="D430" s="2" t="s">
        <v>13</v>
      </c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>
        <v>11</v>
      </c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1"/>
      <c r="AM430" s="1"/>
      <c r="AN430" s="1"/>
      <c r="AO430" s="1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56"/>
    </row>
    <row r="431" spans="1:120" hidden="1" x14ac:dyDescent="0.25">
      <c r="A431" s="10">
        <v>47</v>
      </c>
      <c r="B431" s="2" t="s">
        <v>265</v>
      </c>
      <c r="C431" s="2" t="s">
        <v>40</v>
      </c>
      <c r="D431" s="2" t="s">
        <v>14</v>
      </c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>
        <v>12</v>
      </c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56"/>
    </row>
    <row r="432" spans="1:120" hidden="1" x14ac:dyDescent="0.25">
      <c r="A432" s="10">
        <v>21</v>
      </c>
      <c r="B432" s="2" t="s">
        <v>253</v>
      </c>
      <c r="C432" s="2" t="s">
        <v>40</v>
      </c>
      <c r="D432" s="2" t="s">
        <v>14</v>
      </c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>
        <v>13</v>
      </c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1"/>
      <c r="AM432" s="1"/>
      <c r="AN432" s="1"/>
      <c r="AO432" s="1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55"/>
    </row>
    <row r="433" spans="1:120" hidden="1" x14ac:dyDescent="0.25">
      <c r="A433" s="44">
        <v>276</v>
      </c>
      <c r="B433" s="19" t="s">
        <v>316</v>
      </c>
      <c r="C433" s="19" t="s">
        <v>40</v>
      </c>
      <c r="D433" s="19" t="s">
        <v>14</v>
      </c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>
        <v>17</v>
      </c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46"/>
      <c r="AR433" s="46"/>
      <c r="AS433" s="46"/>
      <c r="AT433" s="46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55"/>
    </row>
    <row r="434" spans="1:120" hidden="1" x14ac:dyDescent="0.25">
      <c r="A434" s="10">
        <v>277</v>
      </c>
      <c r="B434" s="2" t="s">
        <v>276</v>
      </c>
      <c r="C434" s="2" t="s">
        <v>40</v>
      </c>
      <c r="D434" s="2" t="s">
        <v>14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 t="s">
        <v>137</v>
      </c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55"/>
    </row>
    <row r="435" spans="1:120" hidden="1" x14ac:dyDescent="0.25">
      <c r="A435" s="10">
        <v>2</v>
      </c>
      <c r="B435" s="2" t="s">
        <v>329</v>
      </c>
      <c r="C435" s="2" t="s">
        <v>30</v>
      </c>
      <c r="D435" s="2" t="s">
        <v>12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 t="s">
        <v>88</v>
      </c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1"/>
      <c r="AR435" s="1"/>
      <c r="AS435" s="1"/>
      <c r="AT435" s="1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55"/>
    </row>
    <row r="436" spans="1:120" hidden="1" x14ac:dyDescent="0.25">
      <c r="A436" s="10">
        <v>275</v>
      </c>
      <c r="B436" s="2" t="s">
        <v>266</v>
      </c>
      <c r="C436" s="36" t="s">
        <v>23</v>
      </c>
      <c r="D436" s="2" t="s">
        <v>134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 t="s">
        <v>88</v>
      </c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15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55"/>
    </row>
    <row r="437" spans="1:120" hidden="1" x14ac:dyDescent="0.25">
      <c r="A437" s="10">
        <v>20</v>
      </c>
      <c r="B437" s="2" t="s">
        <v>318</v>
      </c>
      <c r="C437" s="2" t="s">
        <v>40</v>
      </c>
      <c r="D437" s="2" t="s">
        <v>14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 t="s">
        <v>88</v>
      </c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55"/>
    </row>
    <row r="438" spans="1:120" hidden="1" x14ac:dyDescent="0.25">
      <c r="A438" s="44">
        <v>21</v>
      </c>
      <c r="B438" s="19" t="s">
        <v>215</v>
      </c>
      <c r="C438" s="19" t="s">
        <v>40</v>
      </c>
      <c r="D438" s="19" t="s">
        <v>14</v>
      </c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>
        <v>2</v>
      </c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54">
        <v>4</v>
      </c>
    </row>
    <row r="439" spans="1:120" hidden="1" x14ac:dyDescent="0.25">
      <c r="A439" s="10">
        <v>34</v>
      </c>
      <c r="B439" s="2" t="s">
        <v>216</v>
      </c>
      <c r="C439" s="39" t="s">
        <v>23</v>
      </c>
      <c r="D439" s="2" t="s">
        <v>134</v>
      </c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>
        <v>3</v>
      </c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54">
        <v>4</v>
      </c>
    </row>
    <row r="440" spans="1:120" hidden="1" x14ac:dyDescent="0.25">
      <c r="A440" s="10">
        <v>20</v>
      </c>
      <c r="B440" s="2" t="s">
        <v>318</v>
      </c>
      <c r="C440" s="19" t="s">
        <v>40</v>
      </c>
      <c r="D440" s="2" t="s">
        <v>14</v>
      </c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>
        <v>2</v>
      </c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1"/>
      <c r="AH440" s="1"/>
      <c r="AI440" s="1"/>
      <c r="AJ440" s="1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14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54">
        <v>2</v>
      </c>
    </row>
    <row r="441" spans="1:120" hidden="1" x14ac:dyDescent="0.25">
      <c r="A441" s="10">
        <v>6</v>
      </c>
      <c r="B441" s="2" t="s">
        <v>327</v>
      </c>
      <c r="C441" s="39" t="s">
        <v>23</v>
      </c>
      <c r="D441" s="2" t="s">
        <v>114</v>
      </c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>
        <v>3</v>
      </c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1"/>
      <c r="AH441" s="1"/>
      <c r="AI441" s="1"/>
      <c r="AJ441" s="1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54">
        <v>2</v>
      </c>
    </row>
    <row r="442" spans="1:120" hidden="1" x14ac:dyDescent="0.25">
      <c r="A442" s="44">
        <v>41</v>
      </c>
      <c r="B442" s="19" t="s">
        <v>299</v>
      </c>
      <c r="C442" s="39" t="s">
        <v>23</v>
      </c>
      <c r="D442" s="19" t="s">
        <v>133</v>
      </c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v>4</v>
      </c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54">
        <v>1</v>
      </c>
    </row>
    <row r="443" spans="1:120" hidden="1" x14ac:dyDescent="0.25">
      <c r="A443" s="10">
        <v>30</v>
      </c>
      <c r="B443" s="2" t="s">
        <v>272</v>
      </c>
      <c r="C443" s="19" t="s">
        <v>131</v>
      </c>
      <c r="D443" s="2" t="s">
        <v>115</v>
      </c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>
        <v>5</v>
      </c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54">
        <v>1</v>
      </c>
    </row>
    <row r="444" spans="1:120" hidden="1" x14ac:dyDescent="0.25">
      <c r="A444" s="10">
        <v>18</v>
      </c>
      <c r="B444" s="2" t="s">
        <v>317</v>
      </c>
      <c r="C444" s="19" t="s">
        <v>30</v>
      </c>
      <c r="D444" s="2" t="s">
        <v>12</v>
      </c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>
        <v>6</v>
      </c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1"/>
      <c r="AH444" s="1"/>
      <c r="AI444" s="1"/>
      <c r="AJ444" s="1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54">
        <v>1</v>
      </c>
    </row>
    <row r="445" spans="1:120" hidden="1" x14ac:dyDescent="0.25">
      <c r="A445" s="10">
        <v>3</v>
      </c>
      <c r="B445" s="2" t="s">
        <v>351</v>
      </c>
      <c r="C445" s="19" t="s">
        <v>40</v>
      </c>
      <c r="D445" s="2" t="s">
        <v>14</v>
      </c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>
        <v>7</v>
      </c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55"/>
    </row>
    <row r="446" spans="1:120" hidden="1" x14ac:dyDescent="0.25">
      <c r="A446" s="44">
        <v>28</v>
      </c>
      <c r="B446" s="19" t="s">
        <v>333</v>
      </c>
      <c r="C446" s="39" t="s">
        <v>23</v>
      </c>
      <c r="D446" s="19" t="s">
        <v>134</v>
      </c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v>8</v>
      </c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55"/>
    </row>
    <row r="447" spans="1:120" hidden="1" x14ac:dyDescent="0.25">
      <c r="A447" s="10">
        <v>34</v>
      </c>
      <c r="B447" s="19" t="s">
        <v>335</v>
      </c>
      <c r="C447" s="36" t="s">
        <v>23</v>
      </c>
      <c r="D447" s="2" t="s">
        <v>134</v>
      </c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 t="s">
        <v>69</v>
      </c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55"/>
    </row>
    <row r="448" spans="1:120" hidden="1" x14ac:dyDescent="0.25">
      <c r="A448" s="10">
        <v>24</v>
      </c>
      <c r="B448" s="19" t="s">
        <v>337</v>
      </c>
      <c r="C448" s="2" t="s">
        <v>127</v>
      </c>
      <c r="D448" s="2" t="s">
        <v>135</v>
      </c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 t="s">
        <v>69</v>
      </c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55"/>
    </row>
    <row r="449" spans="1:120" hidden="1" x14ac:dyDescent="0.25">
      <c r="A449" s="10">
        <v>16</v>
      </c>
      <c r="B449" s="2" t="s">
        <v>348</v>
      </c>
      <c r="C449" s="2" t="s">
        <v>25</v>
      </c>
      <c r="D449" s="2" t="s">
        <v>110</v>
      </c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>
        <v>2</v>
      </c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54">
        <v>4</v>
      </c>
    </row>
    <row r="450" spans="1:120" hidden="1" x14ac:dyDescent="0.25">
      <c r="A450" s="10">
        <v>37</v>
      </c>
      <c r="B450" s="2" t="s">
        <v>307</v>
      </c>
      <c r="C450" s="2" t="s">
        <v>30</v>
      </c>
      <c r="D450" s="2" t="s">
        <v>12</v>
      </c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>
        <v>3</v>
      </c>
      <c r="S450" s="2"/>
      <c r="T450" s="2"/>
      <c r="U450" s="2"/>
      <c r="V450" s="2"/>
      <c r="W450" s="1"/>
      <c r="X450" s="1"/>
      <c r="Y450" s="1"/>
      <c r="Z450" s="1"/>
      <c r="AA450" s="2"/>
      <c r="AB450" s="11"/>
      <c r="AC450" s="12"/>
      <c r="AD450" s="12"/>
      <c r="AE450" s="1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54">
        <v>4</v>
      </c>
    </row>
    <row r="451" spans="1:120" hidden="1" x14ac:dyDescent="0.25">
      <c r="A451" s="44">
        <v>15</v>
      </c>
      <c r="B451" s="19" t="s">
        <v>269</v>
      </c>
      <c r="C451" s="39" t="s">
        <v>23</v>
      </c>
      <c r="D451" s="19" t="s">
        <v>111</v>
      </c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>
        <v>4</v>
      </c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54">
        <v>2</v>
      </c>
    </row>
    <row r="452" spans="1:120" hidden="1" x14ac:dyDescent="0.25">
      <c r="A452" s="10">
        <v>25</v>
      </c>
      <c r="B452" s="2" t="s">
        <v>323</v>
      </c>
      <c r="C452" s="2" t="s">
        <v>25</v>
      </c>
      <c r="D452" s="2" t="s">
        <v>13</v>
      </c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>
        <v>5</v>
      </c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54">
        <v>2</v>
      </c>
    </row>
    <row r="453" spans="1:120" hidden="1" x14ac:dyDescent="0.25">
      <c r="A453" s="44">
        <v>17</v>
      </c>
      <c r="B453" s="19" t="s">
        <v>349</v>
      </c>
      <c r="C453" s="2" t="s">
        <v>25</v>
      </c>
      <c r="D453" s="19" t="s">
        <v>110</v>
      </c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>
        <v>6</v>
      </c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46"/>
      <c r="AH453" s="46"/>
      <c r="AI453" s="46"/>
      <c r="AJ453" s="46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48"/>
      <c r="CM453" s="19"/>
      <c r="CN453" s="19"/>
      <c r="CO453" s="19"/>
      <c r="CP453" s="19"/>
      <c r="CQ453" s="48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59">
        <v>2</v>
      </c>
    </row>
    <row r="454" spans="1:120" hidden="1" x14ac:dyDescent="0.25">
      <c r="A454" s="10">
        <v>37</v>
      </c>
      <c r="B454" s="2" t="s">
        <v>307</v>
      </c>
      <c r="C454" s="2" t="s">
        <v>30</v>
      </c>
      <c r="D454" s="2" t="s">
        <v>12</v>
      </c>
      <c r="E454" s="2"/>
      <c r="F454" s="2"/>
      <c r="G454" s="2">
        <v>1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1"/>
      <c r="X454" s="1"/>
      <c r="Y454" s="1"/>
      <c r="Z454" s="1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56">
        <v>3</v>
      </c>
    </row>
    <row r="455" spans="1:120" hidden="1" x14ac:dyDescent="0.25">
      <c r="A455" s="10">
        <v>2</v>
      </c>
      <c r="B455" s="2" t="s">
        <v>329</v>
      </c>
      <c r="C455" s="2" t="s">
        <v>30</v>
      </c>
      <c r="D455" s="2" t="s">
        <v>12</v>
      </c>
      <c r="E455" s="2"/>
      <c r="F455" s="2"/>
      <c r="G455" s="2">
        <v>4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55">
        <v>1</v>
      </c>
    </row>
    <row r="456" spans="1:120" hidden="1" x14ac:dyDescent="0.25">
      <c r="A456" s="10">
        <v>6</v>
      </c>
      <c r="B456" s="2" t="s">
        <v>327</v>
      </c>
      <c r="C456" s="36" t="s">
        <v>23</v>
      </c>
      <c r="D456" s="2" t="s">
        <v>114</v>
      </c>
      <c r="E456" s="2"/>
      <c r="F456" s="2"/>
      <c r="G456" s="2">
        <v>5</v>
      </c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55">
        <v>1</v>
      </c>
    </row>
    <row r="457" spans="1:120" hidden="1" x14ac:dyDescent="0.25">
      <c r="A457" s="10">
        <v>20</v>
      </c>
      <c r="B457" s="2" t="s">
        <v>318</v>
      </c>
      <c r="C457" s="2" t="s">
        <v>40</v>
      </c>
      <c r="D457" s="2" t="s">
        <v>14</v>
      </c>
      <c r="E457" s="2"/>
      <c r="F457" s="2"/>
      <c r="G457" s="2">
        <v>6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55">
        <v>1</v>
      </c>
    </row>
    <row r="458" spans="1:120" hidden="1" x14ac:dyDescent="0.25">
      <c r="A458" s="10">
        <v>47</v>
      </c>
      <c r="B458" s="2" t="s">
        <v>265</v>
      </c>
      <c r="C458" s="2" t="s">
        <v>40</v>
      </c>
      <c r="D458" s="2" t="s">
        <v>14</v>
      </c>
      <c r="E458" s="2"/>
      <c r="F458" s="2"/>
      <c r="G458" s="2">
        <v>7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13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56"/>
    </row>
    <row r="459" spans="1:120" hidden="1" x14ac:dyDescent="0.25">
      <c r="A459" s="44">
        <v>30</v>
      </c>
      <c r="B459" s="2" t="s">
        <v>272</v>
      </c>
      <c r="C459" s="2" t="s">
        <v>131</v>
      </c>
      <c r="D459" s="19" t="s">
        <v>115</v>
      </c>
      <c r="E459" s="19"/>
      <c r="F459" s="19"/>
      <c r="G459" s="19">
        <v>8</v>
      </c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63"/>
      <c r="S459" s="64"/>
      <c r="T459" s="64"/>
      <c r="U459" s="64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55"/>
    </row>
    <row r="460" spans="1:120" hidden="1" x14ac:dyDescent="0.25">
      <c r="A460" s="10">
        <v>276</v>
      </c>
      <c r="B460" s="2" t="s">
        <v>316</v>
      </c>
      <c r="C460" s="2" t="s">
        <v>40</v>
      </c>
      <c r="D460" s="2" t="s">
        <v>14</v>
      </c>
      <c r="E460" s="2"/>
      <c r="F460" s="2"/>
      <c r="G460" s="2">
        <v>9</v>
      </c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56"/>
    </row>
    <row r="461" spans="1:120" hidden="1" x14ac:dyDescent="0.25">
      <c r="A461" s="10">
        <v>37</v>
      </c>
      <c r="B461" s="2" t="s">
        <v>307</v>
      </c>
      <c r="C461" s="2" t="s">
        <v>30</v>
      </c>
      <c r="D461" s="2" t="s">
        <v>12</v>
      </c>
      <c r="E461" s="2"/>
      <c r="F461" s="2">
        <v>2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55">
        <v>2</v>
      </c>
    </row>
    <row r="462" spans="1:120" hidden="1" x14ac:dyDescent="0.25">
      <c r="A462" s="10">
        <v>16</v>
      </c>
      <c r="B462" s="2" t="s">
        <v>348</v>
      </c>
      <c r="C462" s="2" t="s">
        <v>25</v>
      </c>
      <c r="D462" s="2" t="s">
        <v>110</v>
      </c>
      <c r="E462" s="2"/>
      <c r="F462" s="2">
        <v>3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14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56">
        <v>2</v>
      </c>
    </row>
    <row r="463" spans="1:120" hidden="1" x14ac:dyDescent="0.25">
      <c r="A463" s="44">
        <v>2</v>
      </c>
      <c r="B463" s="19" t="s">
        <v>329</v>
      </c>
      <c r="C463" s="2" t="s">
        <v>30</v>
      </c>
      <c r="D463" s="19" t="s">
        <v>12</v>
      </c>
      <c r="E463" s="19"/>
      <c r="F463" s="19">
        <v>4</v>
      </c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55">
        <v>1</v>
      </c>
    </row>
    <row r="464" spans="1:120" hidden="1" x14ac:dyDescent="0.25">
      <c r="A464" s="10">
        <v>15</v>
      </c>
      <c r="B464" s="2" t="s">
        <v>269</v>
      </c>
      <c r="C464" s="36" t="s">
        <v>23</v>
      </c>
      <c r="D464" s="2" t="s">
        <v>111</v>
      </c>
      <c r="E464" s="2"/>
      <c r="F464" s="2">
        <v>5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55">
        <v>1</v>
      </c>
    </row>
    <row r="465" spans="1:120" hidden="1" x14ac:dyDescent="0.25">
      <c r="A465" s="10">
        <v>36</v>
      </c>
      <c r="B465" s="2" t="s">
        <v>303</v>
      </c>
      <c r="C465" s="2" t="s">
        <v>30</v>
      </c>
      <c r="D465" s="2" t="s">
        <v>12</v>
      </c>
      <c r="E465" s="2"/>
      <c r="F465" s="2">
        <v>6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56">
        <v>1</v>
      </c>
    </row>
    <row r="466" spans="1:120" hidden="1" x14ac:dyDescent="0.25">
      <c r="A466" s="10">
        <v>16</v>
      </c>
      <c r="B466" s="2" t="s">
        <v>348</v>
      </c>
      <c r="C466" s="2" t="s">
        <v>25</v>
      </c>
      <c r="D466" s="2" t="s">
        <v>110</v>
      </c>
      <c r="E466" s="2">
        <v>2</v>
      </c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1"/>
      <c r="X466" s="1"/>
      <c r="Y466" s="1"/>
      <c r="Z466" s="1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13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56">
        <v>2</v>
      </c>
    </row>
    <row r="467" spans="1:120" hidden="1" x14ac:dyDescent="0.25">
      <c r="A467" s="44">
        <v>37</v>
      </c>
      <c r="B467" s="19" t="s">
        <v>307</v>
      </c>
      <c r="C467" s="2" t="s">
        <v>30</v>
      </c>
      <c r="D467" s="19" t="s">
        <v>12</v>
      </c>
      <c r="E467" s="45">
        <v>3</v>
      </c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46"/>
      <c r="BD467" s="46"/>
      <c r="BE467" s="46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47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58">
        <v>2</v>
      </c>
    </row>
    <row r="468" spans="1:120" hidden="1" x14ac:dyDescent="0.25">
      <c r="A468" s="44">
        <v>36</v>
      </c>
      <c r="B468" s="19" t="s">
        <v>303</v>
      </c>
      <c r="C468" s="2" t="s">
        <v>30</v>
      </c>
      <c r="D468" s="19" t="s">
        <v>12</v>
      </c>
      <c r="E468" s="19">
        <v>4</v>
      </c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58">
        <v>1</v>
      </c>
    </row>
    <row r="469" spans="1:120" hidden="1" x14ac:dyDescent="0.25">
      <c r="A469" s="10">
        <v>15</v>
      </c>
      <c r="B469" s="2" t="s">
        <v>269</v>
      </c>
      <c r="C469" s="36" t="s">
        <v>23</v>
      </c>
      <c r="D469" s="2" t="s">
        <v>111</v>
      </c>
      <c r="E469" s="2">
        <v>5</v>
      </c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14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55">
        <v>1</v>
      </c>
    </row>
    <row r="470" spans="1:120" hidden="1" x14ac:dyDescent="0.25">
      <c r="A470" s="10">
        <v>5</v>
      </c>
      <c r="B470" s="2" t="s">
        <v>254</v>
      </c>
      <c r="C470" s="2" t="s">
        <v>30</v>
      </c>
      <c r="D470" s="2" t="s">
        <v>31</v>
      </c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>
        <v>9.1999999999999993</v>
      </c>
      <c r="P470" s="2">
        <v>9</v>
      </c>
      <c r="Q470" s="2">
        <v>9.4</v>
      </c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56"/>
    </row>
    <row r="471" spans="1:120" hidden="1" x14ac:dyDescent="0.25">
      <c r="A471" s="10">
        <v>22</v>
      </c>
      <c r="B471" s="2" t="s">
        <v>256</v>
      </c>
      <c r="C471" s="2" t="s">
        <v>30</v>
      </c>
      <c r="D471" s="2" t="s">
        <v>31</v>
      </c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>
        <v>8</v>
      </c>
      <c r="P471" s="2">
        <v>8</v>
      </c>
      <c r="Q471" s="2">
        <v>8.6</v>
      </c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1"/>
      <c r="AH471" s="1"/>
      <c r="AI471" s="1"/>
      <c r="AJ471" s="1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14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56"/>
    </row>
    <row r="472" spans="1:120" hidden="1" x14ac:dyDescent="0.25">
      <c r="A472" s="10">
        <v>46</v>
      </c>
      <c r="B472" s="2" t="s">
        <v>283</v>
      </c>
      <c r="C472" s="2" t="s">
        <v>30</v>
      </c>
      <c r="D472" s="2" t="s">
        <v>31</v>
      </c>
      <c r="E472" s="2"/>
      <c r="F472" s="2"/>
      <c r="G472" s="2"/>
      <c r="H472" s="2">
        <v>8.6</v>
      </c>
      <c r="I472" s="2">
        <v>8.6</v>
      </c>
      <c r="J472" s="2">
        <v>8.8000000000000007</v>
      </c>
      <c r="K472" s="2">
        <v>8.6</v>
      </c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55"/>
    </row>
    <row r="473" spans="1:120" hidden="1" x14ac:dyDescent="0.25">
      <c r="A473" s="10">
        <v>46</v>
      </c>
      <c r="B473" s="2" t="s">
        <v>283</v>
      </c>
      <c r="C473" s="2" t="s">
        <v>30</v>
      </c>
      <c r="D473" s="2" t="s">
        <v>31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>
        <v>9</v>
      </c>
      <c r="P473" s="2">
        <v>9</v>
      </c>
      <c r="Q473" s="2">
        <v>9.8000000000000007</v>
      </c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56"/>
    </row>
    <row r="474" spans="1:120" hidden="1" x14ac:dyDescent="0.25">
      <c r="A474" s="10">
        <v>18</v>
      </c>
      <c r="B474" s="2" t="s">
        <v>317</v>
      </c>
      <c r="C474" s="2" t="s">
        <v>30</v>
      </c>
      <c r="D474" s="2" t="s">
        <v>31</v>
      </c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>
        <v>8.4</v>
      </c>
      <c r="P474" s="2">
        <v>9</v>
      </c>
      <c r="Q474" s="2">
        <v>9.6</v>
      </c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14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56"/>
    </row>
    <row r="475" spans="1:120" hidden="1" x14ac:dyDescent="0.25">
      <c r="A475" s="10">
        <v>38</v>
      </c>
      <c r="B475" s="2" t="s">
        <v>324</v>
      </c>
      <c r="C475" s="2" t="s">
        <v>30</v>
      </c>
      <c r="D475" s="2" t="s">
        <v>31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>
        <v>8.6</v>
      </c>
      <c r="P475" s="2">
        <v>9</v>
      </c>
      <c r="Q475" s="2">
        <v>9.6</v>
      </c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55"/>
    </row>
    <row r="476" spans="1:120" hidden="1" x14ac:dyDescent="0.25">
      <c r="A476" s="10">
        <v>2</v>
      </c>
      <c r="B476" s="2" t="s">
        <v>329</v>
      </c>
      <c r="C476" s="2" t="s">
        <v>30</v>
      </c>
      <c r="D476" s="2" t="s">
        <v>31</v>
      </c>
      <c r="E476" s="8"/>
      <c r="F476" s="2"/>
      <c r="G476" s="2"/>
      <c r="H476" s="2"/>
      <c r="I476" s="2"/>
      <c r="J476" s="2"/>
      <c r="K476" s="2"/>
      <c r="L476" s="2"/>
      <c r="M476" s="2"/>
      <c r="N476" s="2"/>
      <c r="O476" s="2">
        <v>9.6</v>
      </c>
      <c r="P476" s="2">
        <v>9.8000000000000007</v>
      </c>
      <c r="Q476" s="2">
        <v>9.6</v>
      </c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13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55"/>
    </row>
    <row r="477" spans="1:120" hidden="1" x14ac:dyDescent="0.25">
      <c r="A477" s="44">
        <v>19</v>
      </c>
      <c r="B477" s="2" t="s">
        <v>344</v>
      </c>
      <c r="C477" s="19" t="s">
        <v>30</v>
      </c>
      <c r="D477" s="19" t="s">
        <v>31</v>
      </c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>
        <v>8.4</v>
      </c>
      <c r="P477" s="19">
        <v>8.8000000000000007</v>
      </c>
      <c r="Q477" s="19">
        <v>8.6</v>
      </c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55"/>
    </row>
    <row r="478" spans="1:120" hidden="1" x14ac:dyDescent="0.25">
      <c r="A478" s="35">
        <v>283</v>
      </c>
      <c r="B478" s="36" t="s">
        <v>297</v>
      </c>
      <c r="C478" s="36" t="s">
        <v>203</v>
      </c>
      <c r="D478" s="36" t="s">
        <v>204</v>
      </c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>
        <v>8.4</v>
      </c>
      <c r="CO478" s="36">
        <v>8.1999999999999993</v>
      </c>
      <c r="CP478" s="36">
        <v>8.8000000000000007</v>
      </c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55"/>
    </row>
    <row r="479" spans="1:120" hidden="1" x14ac:dyDescent="0.25">
      <c r="A479" s="35">
        <v>280</v>
      </c>
      <c r="B479" s="36" t="s">
        <v>226</v>
      </c>
      <c r="C479" s="36" t="s">
        <v>92</v>
      </c>
      <c r="D479" s="36" t="s">
        <v>170</v>
      </c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>
        <v>8.6</v>
      </c>
      <c r="AW479" s="36">
        <v>8.6</v>
      </c>
      <c r="AX479" s="36">
        <v>8.8000000000000007</v>
      </c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36"/>
      <c r="DM479" s="36"/>
      <c r="DN479" s="36"/>
      <c r="DO479" s="36"/>
      <c r="DP479" s="55"/>
    </row>
    <row r="480" spans="1:120" hidden="1" x14ac:dyDescent="0.25">
      <c r="A480" s="38">
        <v>283</v>
      </c>
      <c r="B480" s="36" t="s">
        <v>297</v>
      </c>
      <c r="C480" s="39" t="s">
        <v>92</v>
      </c>
      <c r="D480" s="39" t="s">
        <v>205</v>
      </c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>
        <v>9</v>
      </c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55"/>
    </row>
    <row r="481" spans="1:120" hidden="1" x14ac:dyDescent="0.25">
      <c r="A481" s="10">
        <v>30</v>
      </c>
      <c r="B481" s="2" t="s">
        <v>272</v>
      </c>
      <c r="C481" s="2" t="s">
        <v>131</v>
      </c>
      <c r="D481" s="2" t="s">
        <v>132</v>
      </c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>
        <v>9</v>
      </c>
      <c r="P481" s="2">
        <v>8.6</v>
      </c>
      <c r="Q481" s="2">
        <v>8.8000000000000007</v>
      </c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55"/>
    </row>
    <row r="482" spans="1:120" hidden="1" x14ac:dyDescent="0.25">
      <c r="A482" s="10">
        <v>16</v>
      </c>
      <c r="B482" s="2" t="s">
        <v>348</v>
      </c>
      <c r="C482" s="2" t="s">
        <v>25</v>
      </c>
      <c r="D482" s="2" t="s">
        <v>26</v>
      </c>
      <c r="E482" s="2"/>
      <c r="F482" s="2"/>
      <c r="G482" s="2"/>
      <c r="H482" s="2">
        <v>9.6</v>
      </c>
      <c r="I482" s="2">
        <v>9.6</v>
      </c>
      <c r="J482" s="2">
        <v>9.6</v>
      </c>
      <c r="K482" s="2">
        <v>10</v>
      </c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1"/>
      <c r="X482" s="1"/>
      <c r="Y482" s="1"/>
      <c r="Z482" s="1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13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55"/>
    </row>
    <row r="483" spans="1:120" hidden="1" x14ac:dyDescent="0.25">
      <c r="A483" s="10">
        <v>17</v>
      </c>
      <c r="B483" s="2" t="s">
        <v>349</v>
      </c>
      <c r="C483" s="2" t="s">
        <v>25</v>
      </c>
      <c r="D483" s="2" t="s">
        <v>26</v>
      </c>
      <c r="E483" s="8"/>
      <c r="F483" s="2"/>
      <c r="G483" s="2"/>
      <c r="H483" s="2">
        <v>8.8000000000000007</v>
      </c>
      <c r="I483" s="2">
        <v>8.6</v>
      </c>
      <c r="J483" s="2">
        <v>9.1999999999999993</v>
      </c>
      <c r="K483" s="2">
        <v>8.8000000000000007</v>
      </c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55"/>
    </row>
    <row r="484" spans="1:120" hidden="1" x14ac:dyDescent="0.25">
      <c r="A484" s="35">
        <v>63</v>
      </c>
      <c r="B484" s="36" t="s">
        <v>252</v>
      </c>
      <c r="C484" s="36" t="s">
        <v>23</v>
      </c>
      <c r="D484" s="36" t="s">
        <v>27</v>
      </c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>
        <v>9.1999999999999993</v>
      </c>
      <c r="AS484" s="36">
        <v>8.8000000000000007</v>
      </c>
      <c r="AT484" s="36">
        <v>9.6</v>
      </c>
      <c r="AU484" s="36">
        <v>9.4</v>
      </c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  <c r="DO484" s="36"/>
      <c r="DP484" s="55"/>
    </row>
    <row r="485" spans="1:120" hidden="1" x14ac:dyDescent="0.25">
      <c r="A485" s="44">
        <v>275</v>
      </c>
      <c r="B485" s="19" t="s">
        <v>266</v>
      </c>
      <c r="C485" s="19" t="s">
        <v>23</v>
      </c>
      <c r="D485" s="19" t="s">
        <v>27</v>
      </c>
      <c r="E485" s="19"/>
      <c r="F485" s="19"/>
      <c r="G485" s="19"/>
      <c r="H485" s="19">
        <v>8.4</v>
      </c>
      <c r="I485" s="19">
        <v>8.4</v>
      </c>
      <c r="J485" s="19">
        <v>8.8000000000000007</v>
      </c>
      <c r="K485" s="19">
        <v>8.1999999999999993</v>
      </c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55"/>
    </row>
    <row r="486" spans="1:120" hidden="1" x14ac:dyDescent="0.25">
      <c r="A486" s="35">
        <v>84</v>
      </c>
      <c r="B486" s="39" t="s">
        <v>271</v>
      </c>
      <c r="C486" s="39" t="s">
        <v>23</v>
      </c>
      <c r="D486" s="36" t="s">
        <v>155</v>
      </c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>
        <v>8.6</v>
      </c>
      <c r="AM486" s="36">
        <v>9</v>
      </c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55"/>
    </row>
    <row r="487" spans="1:120" hidden="1" x14ac:dyDescent="0.25">
      <c r="A487" s="44">
        <v>13</v>
      </c>
      <c r="B487" s="19" t="s">
        <v>281</v>
      </c>
      <c r="C487" s="19" t="s">
        <v>23</v>
      </c>
      <c r="D487" s="19" t="s">
        <v>116</v>
      </c>
      <c r="E487" s="19"/>
      <c r="F487" s="19"/>
      <c r="G487" s="19"/>
      <c r="H487" s="19">
        <v>8.8000000000000007</v>
      </c>
      <c r="I487" s="19">
        <v>8.4</v>
      </c>
      <c r="J487" s="19">
        <v>9.6</v>
      </c>
      <c r="K487" s="19">
        <v>8.4</v>
      </c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55"/>
    </row>
    <row r="488" spans="1:120" hidden="1" x14ac:dyDescent="0.25">
      <c r="A488" s="10">
        <v>27</v>
      </c>
      <c r="B488" s="2" t="s">
        <v>284</v>
      </c>
      <c r="C488" s="19" t="s">
        <v>23</v>
      </c>
      <c r="D488" s="2" t="s">
        <v>130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>
        <v>9</v>
      </c>
      <c r="P488" s="2">
        <v>9.4</v>
      </c>
      <c r="Q488" s="2">
        <v>9.6</v>
      </c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55"/>
    </row>
    <row r="489" spans="1:120" hidden="1" x14ac:dyDescent="0.25">
      <c r="A489" s="38">
        <v>72</v>
      </c>
      <c r="B489" s="39" t="s">
        <v>221</v>
      </c>
      <c r="C489" s="39" t="s">
        <v>23</v>
      </c>
      <c r="D489" s="39" t="s">
        <v>24</v>
      </c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>
        <v>8.6</v>
      </c>
      <c r="AO489" s="39">
        <v>8.4</v>
      </c>
      <c r="AP489" s="39">
        <v>9</v>
      </c>
      <c r="AQ489" s="39">
        <v>8.4</v>
      </c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  <c r="DH489" s="39"/>
      <c r="DI489" s="39"/>
      <c r="DJ489" s="39"/>
      <c r="DK489" s="39"/>
      <c r="DL489" s="39"/>
      <c r="DM489" s="39"/>
      <c r="DN489" s="39"/>
      <c r="DO489" s="39"/>
      <c r="DP489" s="58"/>
    </row>
    <row r="490" spans="1:120" hidden="1" x14ac:dyDescent="0.25">
      <c r="A490" s="10">
        <v>41</v>
      </c>
      <c r="B490" s="2" t="s">
        <v>299</v>
      </c>
      <c r="C490" s="19" t="s">
        <v>23</v>
      </c>
      <c r="D490" s="2" t="s">
        <v>130</v>
      </c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>
        <v>9.8000000000000007</v>
      </c>
      <c r="P490" s="2">
        <v>9.6</v>
      </c>
      <c r="Q490" s="2">
        <v>9.1999999999999993</v>
      </c>
      <c r="R490" s="2"/>
      <c r="S490" s="2"/>
      <c r="T490" s="2"/>
      <c r="U490" s="2"/>
      <c r="V490" s="2"/>
      <c r="W490" s="1"/>
      <c r="X490" s="1"/>
      <c r="Y490" s="1"/>
      <c r="Z490" s="1"/>
      <c r="AA490" s="2"/>
      <c r="AB490" s="11"/>
      <c r="AC490" s="12"/>
      <c r="AD490" s="12"/>
      <c r="AE490" s="1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56"/>
    </row>
    <row r="491" spans="1:120" hidden="1" x14ac:dyDescent="0.25">
      <c r="A491" s="38">
        <v>75</v>
      </c>
      <c r="B491" s="39" t="s">
        <v>300</v>
      </c>
      <c r="C491" s="39" t="s">
        <v>23</v>
      </c>
      <c r="D491" s="39" t="s">
        <v>34</v>
      </c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>
        <v>8.4</v>
      </c>
      <c r="AS491" s="39">
        <v>8.4</v>
      </c>
      <c r="AT491" s="39">
        <v>8.4</v>
      </c>
      <c r="AU491" s="39">
        <v>9</v>
      </c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58"/>
    </row>
    <row r="492" spans="1:120" hidden="1" x14ac:dyDescent="0.25">
      <c r="A492" s="38">
        <v>82</v>
      </c>
      <c r="B492" s="39" t="s">
        <v>308</v>
      </c>
      <c r="C492" s="39" t="s">
        <v>23</v>
      </c>
      <c r="D492" s="39" t="s">
        <v>155</v>
      </c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>
        <v>9</v>
      </c>
      <c r="AS492" s="39">
        <v>8.6</v>
      </c>
      <c r="AT492" s="39">
        <v>9</v>
      </c>
      <c r="AU492" s="39">
        <v>9.1999999999999993</v>
      </c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55"/>
    </row>
    <row r="493" spans="1:120" hidden="1" x14ac:dyDescent="0.25">
      <c r="A493" s="38">
        <v>281</v>
      </c>
      <c r="B493" s="39" t="s">
        <v>331</v>
      </c>
      <c r="C493" s="39" t="s">
        <v>23</v>
      </c>
      <c r="D493" s="39" t="s">
        <v>33</v>
      </c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>
        <v>8.1999999999999993</v>
      </c>
      <c r="AS493" s="39">
        <v>8.1999999999999993</v>
      </c>
      <c r="AT493" s="39">
        <v>8</v>
      </c>
      <c r="AU493" s="39">
        <v>8</v>
      </c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55"/>
    </row>
    <row r="494" spans="1:120" hidden="1" x14ac:dyDescent="0.25">
      <c r="A494" s="10">
        <v>28</v>
      </c>
      <c r="B494" s="2" t="s">
        <v>333</v>
      </c>
      <c r="C494" s="19" t="s">
        <v>23</v>
      </c>
      <c r="D494" s="2" t="s">
        <v>27</v>
      </c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>
        <v>8.1999999999999993</v>
      </c>
      <c r="P494" s="2">
        <v>8.4</v>
      </c>
      <c r="Q494" s="2">
        <v>8.4</v>
      </c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55"/>
    </row>
    <row r="495" spans="1:120" hidden="1" x14ac:dyDescent="0.25">
      <c r="A495" s="10">
        <v>34</v>
      </c>
      <c r="B495" s="2" t="s">
        <v>335</v>
      </c>
      <c r="C495" s="19" t="s">
        <v>23</v>
      </c>
      <c r="D495" s="2" t="s">
        <v>27</v>
      </c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>
        <v>8.4</v>
      </c>
      <c r="P495" s="2">
        <v>8.1999999999999993</v>
      </c>
      <c r="Q495" s="2">
        <v>8.6</v>
      </c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55"/>
    </row>
    <row r="496" spans="1:120" hidden="1" x14ac:dyDescent="0.25">
      <c r="A496" s="10">
        <v>34</v>
      </c>
      <c r="B496" s="2" t="s">
        <v>216</v>
      </c>
      <c r="C496" s="19" t="s">
        <v>23</v>
      </c>
      <c r="D496" s="2" t="s">
        <v>27</v>
      </c>
      <c r="E496" s="2"/>
      <c r="F496" s="2"/>
      <c r="G496" s="2"/>
      <c r="H496" s="2"/>
      <c r="I496" s="2"/>
      <c r="J496" s="2"/>
      <c r="K496" s="2"/>
      <c r="L496" s="2">
        <v>8.4</v>
      </c>
      <c r="M496" s="2">
        <v>8</v>
      </c>
      <c r="N496" s="2">
        <v>8.4</v>
      </c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55"/>
    </row>
    <row r="497" spans="1:120" hidden="1" x14ac:dyDescent="0.25">
      <c r="A497" s="35">
        <v>55</v>
      </c>
      <c r="B497" s="36" t="s">
        <v>336</v>
      </c>
      <c r="C497" s="39" t="s">
        <v>23</v>
      </c>
      <c r="D497" s="36" t="s">
        <v>154</v>
      </c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>
        <v>9.1999999999999993</v>
      </c>
      <c r="AM497" s="36">
        <v>9.6</v>
      </c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36"/>
      <c r="DM497" s="36"/>
      <c r="DN497" s="36"/>
      <c r="DO497" s="36"/>
      <c r="DP497" s="55"/>
    </row>
    <row r="498" spans="1:120" hidden="1" x14ac:dyDescent="0.25">
      <c r="A498" s="38">
        <v>81</v>
      </c>
      <c r="B498" s="39" t="s">
        <v>345</v>
      </c>
      <c r="C498" s="39" t="s">
        <v>23</v>
      </c>
      <c r="D498" s="39" t="s">
        <v>39</v>
      </c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>
        <v>9</v>
      </c>
      <c r="AM498" s="39">
        <v>9.6</v>
      </c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55"/>
    </row>
    <row r="499" spans="1:120" hidden="1" x14ac:dyDescent="0.25">
      <c r="A499" s="10">
        <v>4</v>
      </c>
      <c r="B499" s="2" t="s">
        <v>274</v>
      </c>
      <c r="C499" s="19" t="s">
        <v>127</v>
      </c>
      <c r="D499" s="2" t="s">
        <v>129</v>
      </c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>
        <v>8</v>
      </c>
      <c r="P499" s="2">
        <v>8.1999999999999993</v>
      </c>
      <c r="Q499" s="2">
        <v>8.8000000000000007</v>
      </c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14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55"/>
    </row>
    <row r="500" spans="1:120" hidden="1" x14ac:dyDescent="0.25">
      <c r="A500" s="44">
        <v>23</v>
      </c>
      <c r="B500" s="19" t="s">
        <v>277</v>
      </c>
      <c r="C500" s="19" t="s">
        <v>127</v>
      </c>
      <c r="D500" s="19" t="s">
        <v>129</v>
      </c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>
        <v>7.8</v>
      </c>
      <c r="P500" s="19">
        <v>7.8</v>
      </c>
      <c r="Q500" s="19">
        <v>8.1999999999999993</v>
      </c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48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  <c r="DK500" s="19"/>
      <c r="DL500" s="19"/>
      <c r="DM500" s="19"/>
      <c r="DN500" s="19"/>
      <c r="DO500" s="19"/>
      <c r="DP500" s="55"/>
    </row>
    <row r="501" spans="1:120" hidden="1" x14ac:dyDescent="0.25">
      <c r="A501" s="10">
        <v>1</v>
      </c>
      <c r="B501" s="2" t="s">
        <v>332</v>
      </c>
      <c r="C501" s="19" t="s">
        <v>127</v>
      </c>
      <c r="D501" s="2" t="s">
        <v>128</v>
      </c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>
        <v>8.1999999999999993</v>
      </c>
      <c r="P501" s="2">
        <v>8.1999999999999993</v>
      </c>
      <c r="Q501" s="2">
        <v>8.1999999999999993</v>
      </c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14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55"/>
    </row>
    <row r="502" spans="1:120" hidden="1" x14ac:dyDescent="0.25">
      <c r="A502" s="10">
        <v>24</v>
      </c>
      <c r="B502" s="2" t="s">
        <v>337</v>
      </c>
      <c r="C502" s="19" t="s">
        <v>127</v>
      </c>
      <c r="D502" s="2" t="s">
        <v>129</v>
      </c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>
        <v>7.8</v>
      </c>
      <c r="P502" s="2">
        <v>7.8</v>
      </c>
      <c r="Q502" s="2">
        <v>8.1999999999999993</v>
      </c>
      <c r="R502" s="2"/>
      <c r="S502" s="2"/>
      <c r="T502" s="2"/>
      <c r="U502" s="2"/>
      <c r="V502" s="2"/>
      <c r="W502" s="1"/>
      <c r="X502" s="1"/>
      <c r="Y502" s="1"/>
      <c r="Z502" s="1"/>
      <c r="AA502" s="2"/>
      <c r="AB502" s="11"/>
      <c r="AC502" s="12"/>
      <c r="AD502" s="12"/>
      <c r="AE502" s="1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55"/>
    </row>
    <row r="503" spans="1:120" hidden="1" x14ac:dyDescent="0.25">
      <c r="A503" s="10">
        <v>11</v>
      </c>
      <c r="B503" s="2" t="s">
        <v>359</v>
      </c>
      <c r="C503" s="19" t="s">
        <v>127</v>
      </c>
      <c r="D503" s="2" t="s">
        <v>129</v>
      </c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>
        <v>8</v>
      </c>
      <c r="P503" s="2">
        <v>7.6</v>
      </c>
      <c r="Q503" s="2">
        <v>8</v>
      </c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55"/>
    </row>
    <row r="504" spans="1:120" hidden="1" x14ac:dyDescent="0.25">
      <c r="A504" s="10">
        <v>12</v>
      </c>
      <c r="B504" s="2" t="s">
        <v>360</v>
      </c>
      <c r="C504" s="19" t="s">
        <v>127</v>
      </c>
      <c r="D504" s="2" t="s">
        <v>129</v>
      </c>
      <c r="E504" s="8"/>
      <c r="F504" s="2"/>
      <c r="G504" s="2"/>
      <c r="H504" s="2"/>
      <c r="I504" s="2"/>
      <c r="J504" s="2"/>
      <c r="K504" s="2"/>
      <c r="L504" s="2"/>
      <c r="M504" s="2"/>
      <c r="N504" s="2"/>
      <c r="O504" s="2">
        <v>8</v>
      </c>
      <c r="P504" s="2">
        <v>7.8</v>
      </c>
      <c r="Q504" s="2">
        <v>8.1999999999999993</v>
      </c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55"/>
    </row>
    <row r="505" spans="1:120" hidden="1" x14ac:dyDescent="0.25">
      <c r="A505" s="35">
        <v>65</v>
      </c>
      <c r="B505" s="36" t="s">
        <v>264</v>
      </c>
      <c r="C505" s="39" t="s">
        <v>32</v>
      </c>
      <c r="D505" s="36" t="s">
        <v>162</v>
      </c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>
        <v>9.8000000000000007</v>
      </c>
      <c r="AZ505" s="36">
        <v>8.8000000000000007</v>
      </c>
      <c r="BA505" s="36">
        <v>9.6</v>
      </c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55"/>
    </row>
    <row r="506" spans="1:120" hidden="1" x14ac:dyDescent="0.25">
      <c r="A506" s="38">
        <v>56</v>
      </c>
      <c r="B506" s="39" t="s">
        <v>273</v>
      </c>
      <c r="C506" s="39" t="s">
        <v>32</v>
      </c>
      <c r="D506" s="39" t="s">
        <v>162</v>
      </c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>
        <v>9.6</v>
      </c>
      <c r="AZ506" s="39">
        <v>9.1999999999999993</v>
      </c>
      <c r="BA506" s="39">
        <v>9.6</v>
      </c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  <c r="DH506" s="39"/>
      <c r="DI506" s="39"/>
      <c r="DJ506" s="39"/>
      <c r="DK506" s="39"/>
      <c r="DL506" s="39"/>
      <c r="DM506" s="39"/>
      <c r="DN506" s="39"/>
      <c r="DO506" s="39"/>
      <c r="DP506" s="55"/>
    </row>
    <row r="507" spans="1:120" hidden="1" x14ac:dyDescent="0.25">
      <c r="A507" s="35">
        <v>89</v>
      </c>
      <c r="B507" s="36" t="s">
        <v>285</v>
      </c>
      <c r="C507" s="39" t="s">
        <v>32</v>
      </c>
      <c r="D507" s="36" t="s">
        <v>162</v>
      </c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>
        <v>8.8000000000000007</v>
      </c>
      <c r="CO507" s="36">
        <v>8.8000000000000007</v>
      </c>
      <c r="CP507" s="36">
        <v>9</v>
      </c>
      <c r="CQ507" s="36"/>
      <c r="CR507" s="36"/>
      <c r="CS507" s="36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36"/>
      <c r="DM507" s="36"/>
      <c r="DN507" s="36"/>
      <c r="DO507" s="36"/>
      <c r="DP507" s="55"/>
    </row>
    <row r="508" spans="1:120" hidden="1" x14ac:dyDescent="0.25">
      <c r="A508" s="35">
        <v>91</v>
      </c>
      <c r="B508" s="36" t="s">
        <v>328</v>
      </c>
      <c r="C508" s="39" t="s">
        <v>32</v>
      </c>
      <c r="D508" s="36" t="s">
        <v>162</v>
      </c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>
        <v>9</v>
      </c>
      <c r="CO508" s="36">
        <v>9</v>
      </c>
      <c r="CP508" s="36">
        <v>9</v>
      </c>
      <c r="CQ508" s="36"/>
      <c r="CR508" s="36"/>
      <c r="CS508" s="36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36"/>
      <c r="DM508" s="36"/>
      <c r="DN508" s="36"/>
      <c r="DO508" s="36"/>
      <c r="DP508" s="55"/>
    </row>
    <row r="509" spans="1:120" hidden="1" x14ac:dyDescent="0.25">
      <c r="A509" s="38">
        <v>57</v>
      </c>
      <c r="B509" s="36" t="s">
        <v>219</v>
      </c>
      <c r="C509" s="39" t="s">
        <v>32</v>
      </c>
      <c r="D509" s="39" t="s">
        <v>162</v>
      </c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>
        <v>9.6</v>
      </c>
      <c r="AO509" s="39">
        <v>9.4</v>
      </c>
      <c r="AP509" s="39">
        <v>9.8000000000000007</v>
      </c>
      <c r="AQ509" s="39">
        <v>9.4</v>
      </c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55"/>
    </row>
    <row r="510" spans="1:120" hidden="1" x14ac:dyDescent="0.25">
      <c r="A510" s="38">
        <v>48</v>
      </c>
      <c r="B510" s="39" t="s">
        <v>357</v>
      </c>
      <c r="C510" s="39" t="s">
        <v>32</v>
      </c>
      <c r="D510" s="39" t="s">
        <v>162</v>
      </c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>
        <v>8.8000000000000007</v>
      </c>
      <c r="AZ510" s="39">
        <v>9.1999999999999993</v>
      </c>
      <c r="BA510" s="39">
        <v>9.6</v>
      </c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58"/>
    </row>
    <row r="511" spans="1:120" hidden="1" x14ac:dyDescent="0.25">
      <c r="A511" s="35">
        <v>89</v>
      </c>
      <c r="B511" s="36" t="s">
        <v>285</v>
      </c>
      <c r="C511" s="39" t="s">
        <v>32</v>
      </c>
      <c r="D511" s="36" t="s">
        <v>146</v>
      </c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>
        <v>8</v>
      </c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  <c r="DO511" s="36"/>
      <c r="DP511" s="55"/>
    </row>
    <row r="512" spans="1:120" hidden="1" x14ac:dyDescent="0.25">
      <c r="A512" s="35">
        <v>91</v>
      </c>
      <c r="B512" s="36" t="s">
        <v>328</v>
      </c>
      <c r="C512" s="39" t="s">
        <v>32</v>
      </c>
      <c r="D512" s="36" t="s">
        <v>146</v>
      </c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>
        <v>7</v>
      </c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  <c r="DO512" s="36"/>
      <c r="DP512" s="56"/>
    </row>
    <row r="513" spans="1:120" hidden="1" x14ac:dyDescent="0.25">
      <c r="A513" s="44">
        <v>21</v>
      </c>
      <c r="B513" s="19" t="s">
        <v>253</v>
      </c>
      <c r="C513" s="19" t="s">
        <v>40</v>
      </c>
      <c r="D513" s="19" t="s">
        <v>41</v>
      </c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>
        <v>9.6</v>
      </c>
      <c r="P513" s="19">
        <v>9.6</v>
      </c>
      <c r="Q513" s="19">
        <v>9.4</v>
      </c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  <c r="DK513" s="19"/>
      <c r="DL513" s="19"/>
      <c r="DM513" s="19"/>
      <c r="DN513" s="19"/>
      <c r="DO513" s="19"/>
      <c r="DP513" s="55"/>
    </row>
    <row r="514" spans="1:120" hidden="1" x14ac:dyDescent="0.25">
      <c r="A514" s="44">
        <v>21</v>
      </c>
      <c r="B514" s="19" t="s">
        <v>215</v>
      </c>
      <c r="C514" s="19" t="s">
        <v>40</v>
      </c>
      <c r="D514" s="19" t="s">
        <v>41</v>
      </c>
      <c r="E514" s="45"/>
      <c r="F514" s="19"/>
      <c r="G514" s="19"/>
      <c r="H514" s="19"/>
      <c r="I514" s="19"/>
      <c r="J514" s="19"/>
      <c r="K514" s="19"/>
      <c r="L514" s="19">
        <v>8.1999999999999993</v>
      </c>
      <c r="M514" s="19">
        <v>9</v>
      </c>
      <c r="N514" s="19">
        <v>9.1999999999999993</v>
      </c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  <c r="DK514" s="19"/>
      <c r="DL514" s="19"/>
      <c r="DM514" s="19"/>
      <c r="DN514" s="19"/>
      <c r="DO514" s="19"/>
      <c r="DP514" s="58"/>
    </row>
    <row r="515" spans="1:120" hidden="1" x14ac:dyDescent="0.25">
      <c r="A515" s="35">
        <v>51</v>
      </c>
      <c r="B515" s="36" t="s">
        <v>259</v>
      </c>
      <c r="C515" s="39" t="s">
        <v>40</v>
      </c>
      <c r="D515" s="36" t="s">
        <v>41</v>
      </c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>
        <v>8.8000000000000007</v>
      </c>
      <c r="AZ515" s="36">
        <v>9</v>
      </c>
      <c r="BA515" s="36">
        <v>8.8000000000000007</v>
      </c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  <c r="DO515" s="36"/>
      <c r="DP515" s="55"/>
    </row>
    <row r="516" spans="1:120" hidden="1" x14ac:dyDescent="0.25">
      <c r="A516" s="10">
        <v>14</v>
      </c>
      <c r="B516" s="2" t="s">
        <v>261</v>
      </c>
      <c r="C516" s="19" t="s">
        <v>40</v>
      </c>
      <c r="D516" s="2" t="s">
        <v>41</v>
      </c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>
        <v>8.8000000000000007</v>
      </c>
      <c r="P516" s="2">
        <v>8.8000000000000007</v>
      </c>
      <c r="Q516" s="2">
        <v>9.6</v>
      </c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1"/>
      <c r="AH516" s="1"/>
      <c r="AI516" s="1"/>
      <c r="AJ516" s="1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14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55"/>
    </row>
    <row r="517" spans="1:120" hidden="1" x14ac:dyDescent="0.25">
      <c r="A517" s="10">
        <v>47</v>
      </c>
      <c r="B517" s="2" t="s">
        <v>265</v>
      </c>
      <c r="C517" s="19" t="s">
        <v>40</v>
      </c>
      <c r="D517" s="2" t="s">
        <v>41</v>
      </c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>
        <v>9.6</v>
      </c>
      <c r="P517" s="2">
        <v>9.6</v>
      </c>
      <c r="Q517" s="2">
        <v>9</v>
      </c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55"/>
    </row>
    <row r="518" spans="1:120" hidden="1" x14ac:dyDescent="0.25">
      <c r="A518" s="10">
        <v>277</v>
      </c>
      <c r="B518" s="2" t="s">
        <v>276</v>
      </c>
      <c r="C518" s="19" t="s">
        <v>40</v>
      </c>
      <c r="D518" s="2" t="s">
        <v>41</v>
      </c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>
        <v>8.4</v>
      </c>
      <c r="P518" s="2">
        <v>8.6</v>
      </c>
      <c r="Q518" s="2">
        <v>8.8000000000000007</v>
      </c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55"/>
    </row>
    <row r="519" spans="1:120" hidden="1" x14ac:dyDescent="0.25">
      <c r="A519" s="35">
        <v>52</v>
      </c>
      <c r="B519" s="36" t="s">
        <v>302</v>
      </c>
      <c r="C519" s="36" t="s">
        <v>40</v>
      </c>
      <c r="D519" s="36" t="s">
        <v>41</v>
      </c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>
        <v>8.6</v>
      </c>
      <c r="AZ519" s="36">
        <v>8.4</v>
      </c>
      <c r="BA519" s="36">
        <v>8.6</v>
      </c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  <c r="DO519" s="36"/>
      <c r="DP519" s="56"/>
    </row>
    <row r="520" spans="1:120" hidden="1" x14ac:dyDescent="0.25">
      <c r="A520" s="10">
        <v>276</v>
      </c>
      <c r="B520" s="19" t="s">
        <v>316</v>
      </c>
      <c r="C520" s="2" t="s">
        <v>40</v>
      </c>
      <c r="D520" s="2" t="s">
        <v>41</v>
      </c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>
        <v>8.4</v>
      </c>
      <c r="P520" s="2">
        <v>8.4</v>
      </c>
      <c r="Q520" s="2">
        <v>8.6</v>
      </c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56"/>
    </row>
    <row r="521" spans="1:120" hidden="1" x14ac:dyDescent="0.25">
      <c r="A521" s="10">
        <v>20</v>
      </c>
      <c r="B521" s="19" t="s">
        <v>318</v>
      </c>
      <c r="C521" s="2" t="s">
        <v>40</v>
      </c>
      <c r="D521" s="2" t="s">
        <v>41</v>
      </c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>
        <v>9.4</v>
      </c>
      <c r="P521" s="2">
        <v>9.8000000000000007</v>
      </c>
      <c r="Q521" s="2">
        <v>9.6</v>
      </c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55"/>
    </row>
    <row r="522" spans="1:120" hidden="1" x14ac:dyDescent="0.25">
      <c r="A522" s="44">
        <v>3</v>
      </c>
      <c r="B522" s="19" t="s">
        <v>351</v>
      </c>
      <c r="C522" s="2" t="s">
        <v>40</v>
      </c>
      <c r="D522" s="19" t="s">
        <v>41</v>
      </c>
      <c r="E522" s="45"/>
      <c r="F522" s="19"/>
      <c r="G522" s="19"/>
      <c r="H522" s="19"/>
      <c r="I522" s="19"/>
      <c r="J522" s="19"/>
      <c r="K522" s="19"/>
      <c r="L522" s="19"/>
      <c r="M522" s="19"/>
      <c r="N522" s="19"/>
      <c r="O522" s="19">
        <v>8.6</v>
      </c>
      <c r="P522" s="19">
        <v>8.4</v>
      </c>
      <c r="Q522" s="19">
        <v>8.4</v>
      </c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  <c r="DK522" s="19"/>
      <c r="DL522" s="19"/>
      <c r="DM522" s="19"/>
      <c r="DN522" s="19"/>
      <c r="DO522" s="19"/>
      <c r="DP522" s="55"/>
    </row>
  </sheetData>
  <hyperlinks>
    <hyperlink ref="C7" r:id="rId1"/>
  </hyperlinks>
  <pageMargins left="0.7" right="0.7" top="0.75" bottom="0.75" header="0.3" footer="0.3"/>
  <pageSetup paperSize="9" scale="20" fitToWidth="0" orientation="landscape" verticalDpi="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33" sqref="D33"/>
    </sheetView>
  </sheetViews>
  <sheetFormatPr defaultRowHeight="15" x14ac:dyDescent="0.25"/>
  <cols>
    <col min="2" max="2" width="21.42578125" customWidth="1"/>
    <col min="4" max="4" width="34" customWidth="1"/>
  </cols>
  <sheetData>
    <row r="1" spans="1:8" x14ac:dyDescent="0.25">
      <c r="A1">
        <f>'Обработка зачетов'!A1</f>
        <v>0</v>
      </c>
      <c r="B1">
        <f>'Обработка зачетов'!B1</f>
        <v>0</v>
      </c>
      <c r="C1">
        <f>'Обработка зачетов'!E1</f>
        <v>0</v>
      </c>
      <c r="D1">
        <f>'Обработка зачетов'!G1</f>
        <v>0</v>
      </c>
      <c r="E1">
        <f>'Обработка зачетов'!D2</f>
        <v>0</v>
      </c>
      <c r="F1">
        <f>'Обработка зачетов'!D3</f>
        <v>0</v>
      </c>
      <c r="G1">
        <f>'Обработка зачетов'!D4</f>
        <v>0</v>
      </c>
      <c r="H1">
        <f>'Обработка зачетов'!D5</f>
        <v>0</v>
      </c>
    </row>
    <row r="2" spans="1:8" x14ac:dyDescent="0.25">
      <c r="A2">
        <f>'Обработка зачетов'!A6</f>
        <v>0</v>
      </c>
      <c r="B2">
        <f>'Обработка зачетов'!B6</f>
        <v>0</v>
      </c>
      <c r="C2">
        <f>'Обработка зачетов'!E6</f>
        <v>0</v>
      </c>
      <c r="D2">
        <f>'Обработка зачетов'!G6</f>
        <v>0</v>
      </c>
      <c r="E2">
        <f>'Обработка зачетов'!D7</f>
        <v>0</v>
      </c>
      <c r="F2">
        <f>'Обработка зачетов'!D8</f>
        <v>0</v>
      </c>
      <c r="G2">
        <f>'Обработка зачетов'!D9</f>
        <v>0</v>
      </c>
      <c r="H2">
        <f>'Обработка зачетов'!D10</f>
        <v>0</v>
      </c>
    </row>
    <row r="3" spans="1:8" x14ac:dyDescent="0.25">
      <c r="A3">
        <f>'Обработка зачетов'!A11</f>
        <v>0</v>
      </c>
      <c r="B3">
        <f>'Обработка зачетов'!B11</f>
        <v>0</v>
      </c>
      <c r="C3">
        <f>'Обработка зачетов'!E11</f>
        <v>0</v>
      </c>
      <c r="D3">
        <f>'Обработка зачетов'!G11</f>
        <v>0</v>
      </c>
      <c r="E3">
        <f>'Обработка зачетов'!$D12</f>
        <v>0</v>
      </c>
      <c r="F3">
        <f>'Обработка зачетов'!$D13</f>
        <v>0</v>
      </c>
      <c r="G3">
        <f>'Обработка зачетов'!$D14</f>
        <v>0</v>
      </c>
      <c r="H3">
        <f>'Обработка зачетов'!$D15</f>
        <v>0</v>
      </c>
    </row>
    <row r="4" spans="1:8" x14ac:dyDescent="0.25">
      <c r="A4">
        <f>'Обработка зачетов'!A16</f>
        <v>0</v>
      </c>
      <c r="B4">
        <f>'Обработка зачетов'!B16</f>
        <v>0</v>
      </c>
      <c r="C4">
        <f>'Обработка зачетов'!E16</f>
        <v>0</v>
      </c>
      <c r="D4">
        <f>'Обработка зачетов'!G16</f>
        <v>0</v>
      </c>
      <c r="E4">
        <f>'Обработка зачетов'!D17</f>
        <v>0</v>
      </c>
      <c r="F4">
        <f>'Обработка зачетов'!$D18</f>
        <v>0</v>
      </c>
      <c r="G4">
        <f>'Обработка зачетов'!$D19</f>
        <v>0</v>
      </c>
      <c r="H4">
        <f>'Обработка зачетов'!$D20</f>
        <v>0</v>
      </c>
    </row>
    <row r="5" spans="1:8" x14ac:dyDescent="0.25">
      <c r="A5">
        <f>'Обработка зачетов'!A21</f>
        <v>0</v>
      </c>
      <c r="B5">
        <f>'Обработка зачетов'!B21</f>
        <v>0</v>
      </c>
      <c r="C5">
        <f>'Обработка зачетов'!E21</f>
        <v>0</v>
      </c>
      <c r="D5">
        <f>'Обработка зачетов'!G21</f>
        <v>0</v>
      </c>
      <c r="E5">
        <f>'Обработка зачетов'!D22</f>
        <v>0</v>
      </c>
      <c r="F5">
        <f>'Обработка зачетов'!$D23</f>
        <v>0</v>
      </c>
      <c r="G5">
        <f>'Обработка зачетов'!$D24</f>
        <v>0</v>
      </c>
      <c r="H5">
        <f>'Обработка зачетов'!$D25</f>
        <v>0</v>
      </c>
    </row>
    <row r="6" spans="1:8" x14ac:dyDescent="0.25">
      <c r="A6">
        <f>'Обработка зачетов'!A26</f>
        <v>0</v>
      </c>
      <c r="B6">
        <f>'Обработка зачетов'!B26</f>
        <v>0</v>
      </c>
      <c r="C6">
        <f>'Обработка зачетов'!E26</f>
        <v>0</v>
      </c>
      <c r="D6">
        <f>'Обработка зачетов'!G26</f>
        <v>0</v>
      </c>
      <c r="E6">
        <f>'Обработка зачетов'!D27</f>
        <v>0</v>
      </c>
      <c r="F6">
        <f>'Обработка зачетов'!$D28</f>
        <v>0</v>
      </c>
      <c r="G6">
        <f>'Обработка зачетов'!$D29</f>
        <v>0</v>
      </c>
      <c r="H6">
        <f>'Обработка зачетов'!$D30</f>
        <v>0</v>
      </c>
    </row>
    <row r="7" spans="1:8" x14ac:dyDescent="0.25">
      <c r="A7">
        <f>'Обработка зачетов'!A31</f>
        <v>0</v>
      </c>
      <c r="B7">
        <f>'Обработка зачетов'!B31</f>
        <v>0</v>
      </c>
      <c r="C7">
        <f>'Обработка зачетов'!E31</f>
        <v>0</v>
      </c>
      <c r="D7">
        <f>'Обработка зачетов'!G31</f>
        <v>0</v>
      </c>
      <c r="E7">
        <f>'Обработка зачетов'!D32</f>
        <v>0</v>
      </c>
      <c r="F7">
        <f>'Обработка зачетов'!$D33</f>
        <v>0</v>
      </c>
      <c r="G7">
        <f>'Обработка зачетов'!$D34</f>
        <v>0</v>
      </c>
      <c r="H7">
        <f>'Обработка зачетов'!$D35</f>
        <v>0</v>
      </c>
    </row>
    <row r="8" spans="1:8" x14ac:dyDescent="0.25">
      <c r="A8">
        <f>'Обработка зачетов'!A36</f>
        <v>0</v>
      </c>
      <c r="B8">
        <f>'Обработка зачетов'!B36</f>
        <v>0</v>
      </c>
      <c r="C8">
        <f>'Обработка зачетов'!E36</f>
        <v>0</v>
      </c>
      <c r="D8">
        <f>'Обработка зачетов'!G36</f>
        <v>0</v>
      </c>
      <c r="E8">
        <f>'Обработка зачетов'!D37</f>
        <v>0</v>
      </c>
      <c r="F8">
        <f>'Обработка зачетов'!$D38</f>
        <v>0</v>
      </c>
      <c r="G8">
        <f>'Обработка зачетов'!$D39</f>
        <v>0</v>
      </c>
      <c r="H8">
        <f>'Обработка зачетов'!$D40</f>
        <v>0</v>
      </c>
    </row>
    <row r="9" spans="1:8" x14ac:dyDescent="0.25">
      <c r="A9">
        <f>'Обработка зачетов'!A41</f>
        <v>0</v>
      </c>
      <c r="B9">
        <f>'Обработка зачетов'!B41</f>
        <v>0</v>
      </c>
      <c r="C9">
        <f>'Обработка зачетов'!E41</f>
        <v>0</v>
      </c>
      <c r="D9">
        <f>'Обработка зачетов'!G41</f>
        <v>0</v>
      </c>
      <c r="E9">
        <f>'Обработка зачетов'!D42</f>
        <v>0</v>
      </c>
      <c r="F9">
        <f>'Обработка зачетов'!$D43</f>
        <v>0</v>
      </c>
      <c r="G9">
        <f>'Обработка зачетов'!$D44</f>
        <v>0</v>
      </c>
      <c r="H9">
        <f>'Обработка зачетов'!$D45</f>
        <v>0</v>
      </c>
    </row>
    <row r="10" spans="1:8" x14ac:dyDescent="0.25">
      <c r="A10">
        <f>'Обработка зачетов'!A46</f>
        <v>0</v>
      </c>
      <c r="B10">
        <f>'Обработка зачетов'!B46</f>
        <v>0</v>
      </c>
      <c r="C10">
        <f>'Обработка зачетов'!E46</f>
        <v>0</v>
      </c>
      <c r="D10">
        <f>'Обработка зачетов'!G46</f>
        <v>0</v>
      </c>
      <c r="E10">
        <f>'Обработка зачетов'!D47</f>
        <v>0</v>
      </c>
      <c r="F10">
        <f>'Обработка зачетов'!$D48</f>
        <v>0</v>
      </c>
      <c r="G10">
        <f>'Обработка зачетов'!$D49</f>
        <v>0</v>
      </c>
      <c r="H10">
        <f>'Обработка зачетов'!$D50</f>
        <v>0</v>
      </c>
    </row>
    <row r="11" spans="1:8" x14ac:dyDescent="0.25">
      <c r="A11">
        <f>'Обработка зачетов'!A51</f>
        <v>0</v>
      </c>
      <c r="B11">
        <f>'Обработка зачетов'!B51</f>
        <v>0</v>
      </c>
      <c r="C11">
        <f>'Обработка зачетов'!E51</f>
        <v>0</v>
      </c>
      <c r="D11">
        <f>'Обработка зачетов'!G51</f>
        <v>0</v>
      </c>
      <c r="E11">
        <f>'Обработка зачетов'!D52</f>
        <v>0</v>
      </c>
      <c r="F11">
        <f>'Обработка зачетов'!$D53</f>
        <v>0</v>
      </c>
      <c r="G11">
        <f>'Обработка зачетов'!$D54</f>
        <v>0</v>
      </c>
      <c r="H11">
        <f>'Обработка зачетов'!$D55</f>
        <v>0</v>
      </c>
    </row>
    <row r="12" spans="1:8" x14ac:dyDescent="0.25">
      <c r="A12">
        <f>'Обработка зачетов'!A56</f>
        <v>0</v>
      </c>
      <c r="B12">
        <f>'Обработка зачетов'!B56</f>
        <v>0</v>
      </c>
      <c r="C12">
        <f>'Обработка зачетов'!E56</f>
        <v>0</v>
      </c>
      <c r="D12">
        <f>'Обработка зачетов'!G56</f>
        <v>0</v>
      </c>
      <c r="E12">
        <f>'Обработка зачетов'!D57</f>
        <v>0</v>
      </c>
      <c r="F12">
        <f>'Обработка зачетов'!$D58</f>
        <v>0</v>
      </c>
      <c r="G12">
        <f>'Обработка зачетов'!$D59</f>
        <v>0</v>
      </c>
      <c r="H12">
        <f>'Обработка зачетов'!$D60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Протокол</vt:lpstr>
      <vt:lpstr>Рейтинг школ танца</vt:lpstr>
      <vt:lpstr>Рейтинг Dancepride Trophhy</vt:lpstr>
      <vt:lpstr>Протокол.DPT</vt:lpstr>
      <vt:lpstr>Обработка зачетов</vt:lpstr>
      <vt:lpstr>готовые результаты зачетов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2018-12-09T17:10:18Z</cp:lastPrinted>
  <dcterms:created xsi:type="dcterms:W3CDTF">2018-08-07T14:51:41Z</dcterms:created>
  <dcterms:modified xsi:type="dcterms:W3CDTF">2019-04-12T12:04:51Z</dcterms:modified>
</cp:coreProperties>
</file>